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80" yWindow="5520" windowWidth="9360" windowHeight="5190"/>
  </bookViews>
  <sheets>
    <sheet name="average 12 Μ" sheetId="1" r:id="rId1"/>
    <sheet name="2016 January" sheetId="22" r:id="rId2"/>
    <sheet name="2016 February" sheetId="13" r:id="rId3"/>
    <sheet name="2016 Mar" sheetId="16" r:id="rId4"/>
    <sheet name="2016 Apr" sheetId="17" r:id="rId5"/>
    <sheet name="2016 May" sheetId="18" r:id="rId6"/>
    <sheet name="2016 June" sheetId="19" r:id="rId7"/>
    <sheet name="2016 July" sheetId="20" r:id="rId8"/>
    <sheet name="2016 Aug" sheetId="21" r:id="rId9"/>
    <sheet name="2016 Sep" sheetId="7" r:id="rId10"/>
    <sheet name="2016 Oct" sheetId="8" r:id="rId11"/>
    <sheet name="2016 Nov" sheetId="9" r:id="rId12"/>
    <sheet name="2016 Dec" sheetId="15" r:id="rId13"/>
  </sheets>
  <definedNames>
    <definedName name="_xlnm.Print_Area" localSheetId="12">'2016 Dec'!$A$1:$S$24</definedName>
    <definedName name="_xlnm.Print_Area" localSheetId="11">'2016 Nov'!$A$1:$T$32</definedName>
    <definedName name="_xlnm.Print_Area" localSheetId="0">'average 12 Μ'!$A$1:$S$24</definedName>
  </definedNames>
  <calcPr calcId="145621"/>
</workbook>
</file>

<file path=xl/calcChain.xml><?xml version="1.0" encoding="utf-8"?>
<calcChain xmlns="http://schemas.openxmlformats.org/spreadsheetml/2006/main">
  <c r="J18" i="1" l="1"/>
  <c r="P21" i="15" l="1"/>
  <c r="N21" i="15"/>
  <c r="L21" i="15"/>
  <c r="J21" i="15"/>
  <c r="H21" i="15"/>
  <c r="F21" i="15"/>
  <c r="R21" i="9"/>
  <c r="P21" i="9"/>
  <c r="N21" i="9"/>
  <c r="L21" i="9"/>
  <c r="J21" i="9"/>
  <c r="H21" i="9"/>
  <c r="R21" i="8" l="1"/>
  <c r="P21" i="8"/>
  <c r="N21" i="8"/>
  <c r="L21" i="8"/>
  <c r="J21" i="8"/>
  <c r="H21" i="8"/>
  <c r="F21" i="8"/>
  <c r="R21" i="7"/>
  <c r="P21" i="7"/>
  <c r="N21" i="7"/>
  <c r="L21" i="7"/>
  <c r="J21" i="7"/>
  <c r="H21" i="7"/>
  <c r="F21" i="7"/>
  <c r="P21" i="21"/>
  <c r="N21" i="21"/>
  <c r="L21" i="21"/>
  <c r="J21" i="21"/>
  <c r="H21" i="21"/>
  <c r="F21" i="21"/>
  <c r="R21" i="20" l="1"/>
  <c r="P21" i="20"/>
  <c r="N21" i="20"/>
  <c r="L21" i="20"/>
  <c r="J21" i="20"/>
  <c r="H21" i="20"/>
  <c r="F21" i="20"/>
  <c r="P21" i="19"/>
  <c r="N21" i="19"/>
  <c r="L21" i="19"/>
  <c r="J21" i="19"/>
  <c r="H21" i="19"/>
  <c r="F21" i="19"/>
  <c r="P21" i="18"/>
  <c r="N21" i="18"/>
  <c r="L21" i="18"/>
  <c r="J21" i="18"/>
  <c r="H21" i="18"/>
  <c r="F21" i="18"/>
  <c r="B11" i="17"/>
  <c r="B17" i="17"/>
  <c r="P21" i="17"/>
  <c r="N21" i="17"/>
  <c r="L21" i="17"/>
  <c r="J21" i="17"/>
  <c r="H21" i="17"/>
  <c r="F21" i="17"/>
  <c r="P21" i="16"/>
  <c r="N21" i="16"/>
  <c r="L21" i="16"/>
  <c r="J21" i="16"/>
  <c r="H21" i="16"/>
  <c r="F21" i="16"/>
  <c r="R23" i="9" l="1"/>
  <c r="P23" i="9"/>
  <c r="N23" i="9"/>
  <c r="L23" i="9"/>
  <c r="J23" i="9"/>
  <c r="K7" i="9" s="1"/>
  <c r="H23" i="9"/>
  <c r="F23" i="9"/>
  <c r="D23" i="9"/>
  <c r="B21" i="9"/>
  <c r="B20" i="9"/>
  <c r="B19" i="9"/>
  <c r="B18" i="9"/>
  <c r="B17" i="9"/>
  <c r="R11" i="9"/>
  <c r="S20" i="9" s="1"/>
  <c r="P11" i="9"/>
  <c r="Q21" i="9" s="1"/>
  <c r="N11" i="9"/>
  <c r="O20" i="9" s="1"/>
  <c r="L11" i="9"/>
  <c r="M21" i="9" s="1"/>
  <c r="J11" i="9"/>
  <c r="K20" i="9" s="1"/>
  <c r="H11" i="9"/>
  <c r="I21" i="9" s="1"/>
  <c r="F11" i="9"/>
  <c r="G20" i="9" s="1"/>
  <c r="D11" i="9"/>
  <c r="E21" i="9" s="1"/>
  <c r="B10" i="9"/>
  <c r="Q9" i="9"/>
  <c r="O9" i="9"/>
  <c r="I9" i="9"/>
  <c r="G9" i="9"/>
  <c r="B9" i="9"/>
  <c r="S8" i="9"/>
  <c r="Q8" i="9"/>
  <c r="K8" i="9"/>
  <c r="I8" i="9"/>
  <c r="B8" i="9"/>
  <c r="S7" i="9"/>
  <c r="Q7" i="9"/>
  <c r="O7" i="9"/>
  <c r="M7" i="9"/>
  <c r="I7" i="9"/>
  <c r="G7" i="9"/>
  <c r="E7" i="9"/>
  <c r="B7" i="9"/>
  <c r="Q6" i="9"/>
  <c r="O6" i="9"/>
  <c r="I6" i="9"/>
  <c r="G6" i="9"/>
  <c r="B6" i="9"/>
  <c r="S5" i="9"/>
  <c r="Q5" i="9"/>
  <c r="Q11" i="9" s="1"/>
  <c r="O5" i="9"/>
  <c r="I5" i="9"/>
  <c r="I11" i="9" s="1"/>
  <c r="G5" i="9"/>
  <c r="B5" i="9"/>
  <c r="D7" i="1"/>
  <c r="J11" i="20"/>
  <c r="K5" i="20" s="1"/>
  <c r="L11" i="20"/>
  <c r="M5" i="20" s="1"/>
  <c r="R11" i="16"/>
  <c r="S10" i="16" s="1"/>
  <c r="F11" i="20"/>
  <c r="H11" i="20"/>
  <c r="J23" i="20"/>
  <c r="B5" i="15"/>
  <c r="R23" i="15"/>
  <c r="B17" i="15"/>
  <c r="B6" i="15"/>
  <c r="B7" i="15"/>
  <c r="B8" i="15"/>
  <c r="B9" i="15"/>
  <c r="C8" i="9" l="1"/>
  <c r="C5" i="9"/>
  <c r="K5" i="9"/>
  <c r="E8" i="9"/>
  <c r="M8" i="9"/>
  <c r="K9" i="9"/>
  <c r="S9" i="9"/>
  <c r="E5" i="9"/>
  <c r="E11" i="9" s="1"/>
  <c r="M5" i="9"/>
  <c r="K6" i="9"/>
  <c r="S6" i="9"/>
  <c r="S11" i="9" s="1"/>
  <c r="G8" i="9"/>
  <c r="O8" i="9"/>
  <c r="E9" i="9"/>
  <c r="M9" i="9"/>
  <c r="G11" i="9"/>
  <c r="O11" i="9"/>
  <c r="E6" i="9"/>
  <c r="M6" i="9"/>
  <c r="B11" i="9"/>
  <c r="C9" i="9" s="1"/>
  <c r="C17" i="9"/>
  <c r="G17" i="9"/>
  <c r="K17" i="9"/>
  <c r="O17" i="9"/>
  <c r="S17" i="9"/>
  <c r="E18" i="9"/>
  <c r="I18" i="9"/>
  <c r="M18" i="9"/>
  <c r="Q18" i="9"/>
  <c r="C19" i="9"/>
  <c r="G19" i="9"/>
  <c r="K19" i="9"/>
  <c r="O19" i="9"/>
  <c r="S19" i="9"/>
  <c r="E20" i="9"/>
  <c r="I20" i="9"/>
  <c r="M20" i="9"/>
  <c r="Q20" i="9"/>
  <c r="G21" i="9"/>
  <c r="K21" i="9"/>
  <c r="O21" i="9"/>
  <c r="S21" i="9"/>
  <c r="G23" i="9"/>
  <c r="K23" i="9"/>
  <c r="O23" i="9"/>
  <c r="S23" i="9"/>
  <c r="E17" i="9"/>
  <c r="I17" i="9"/>
  <c r="M17" i="9"/>
  <c r="Q17" i="9"/>
  <c r="C18" i="9"/>
  <c r="G18" i="9"/>
  <c r="K18" i="9"/>
  <c r="O18" i="9"/>
  <c r="S18" i="9"/>
  <c r="E19" i="9"/>
  <c r="I19" i="9"/>
  <c r="M19" i="9"/>
  <c r="Q19" i="9"/>
  <c r="C20" i="9"/>
  <c r="D24" i="9"/>
  <c r="L24" i="9"/>
  <c r="P24" i="9"/>
  <c r="B23" i="9"/>
  <c r="B12" i="9" s="1"/>
  <c r="J24" i="9"/>
  <c r="N24" i="9"/>
  <c r="R24" i="9"/>
  <c r="R12" i="9"/>
  <c r="E23" i="9"/>
  <c r="I23" i="9"/>
  <c r="M23" i="9"/>
  <c r="Q23" i="9"/>
  <c r="B18" i="16"/>
  <c r="B19" i="16"/>
  <c r="B20" i="16"/>
  <c r="B21" i="16"/>
  <c r="B17" i="16"/>
  <c r="B17" i="13"/>
  <c r="K11" i="9" l="1"/>
  <c r="J12" i="9"/>
  <c r="C6" i="9"/>
  <c r="C11" i="9" s="1"/>
  <c r="F24" i="9"/>
  <c r="H24" i="9"/>
  <c r="C21" i="9"/>
  <c r="C7" i="9"/>
  <c r="M11" i="9"/>
  <c r="C23" i="9"/>
  <c r="B24" i="9"/>
  <c r="L12" i="9"/>
  <c r="D12" i="9"/>
  <c r="N12" i="9"/>
  <c r="F12" i="9"/>
  <c r="P12" i="9"/>
  <c r="H12" i="9"/>
  <c r="B23" i="16"/>
  <c r="B20" i="21"/>
  <c r="B21" i="15"/>
  <c r="F11" i="15" l="1"/>
  <c r="D11" i="15"/>
  <c r="B18" i="15" l="1"/>
  <c r="B19" i="15"/>
  <c r="B20" i="15"/>
  <c r="B21" i="13" l="1"/>
  <c r="B20" i="13"/>
  <c r="B19" i="13"/>
  <c r="B18" i="13"/>
  <c r="B5" i="13"/>
  <c r="B23" i="13" l="1"/>
  <c r="B24" i="13" s="1"/>
  <c r="D17" i="1"/>
  <c r="D18" i="1"/>
  <c r="D19" i="1"/>
  <c r="D20" i="1"/>
  <c r="D21" i="1"/>
  <c r="F17" i="1"/>
  <c r="F18" i="1"/>
  <c r="F19" i="1"/>
  <c r="F20" i="1"/>
  <c r="F21" i="1"/>
  <c r="H17" i="1"/>
  <c r="H18" i="1"/>
  <c r="H19" i="1"/>
  <c r="H20" i="1"/>
  <c r="H21" i="1"/>
  <c r="J17" i="1"/>
  <c r="J19" i="1"/>
  <c r="J20" i="1"/>
  <c r="J21" i="1"/>
  <c r="L17" i="1"/>
  <c r="L18" i="1"/>
  <c r="L19" i="1"/>
  <c r="L20" i="1"/>
  <c r="L21" i="1"/>
  <c r="N17" i="1"/>
  <c r="N18" i="1"/>
  <c r="N19" i="1"/>
  <c r="N20" i="1"/>
  <c r="N21" i="1"/>
  <c r="P17" i="1"/>
  <c r="P18" i="1"/>
  <c r="P19" i="1"/>
  <c r="P20" i="1"/>
  <c r="P21" i="1"/>
  <c r="R17" i="1"/>
  <c r="R18" i="1"/>
  <c r="R19" i="1"/>
  <c r="R20" i="1"/>
  <c r="R21" i="1"/>
  <c r="P23" i="15" l="1"/>
  <c r="N23" i="15"/>
  <c r="O21" i="15" s="1"/>
  <c r="L23" i="15"/>
  <c r="M19" i="15" s="1"/>
  <c r="J23" i="15"/>
  <c r="K18" i="15" s="1"/>
  <c r="H23" i="15"/>
  <c r="I21" i="15" s="1"/>
  <c r="F23" i="15"/>
  <c r="D23" i="15"/>
  <c r="E17" i="15" s="1"/>
  <c r="S20" i="15"/>
  <c r="S18" i="15"/>
  <c r="R23" i="8"/>
  <c r="S17" i="8" s="1"/>
  <c r="P23" i="8"/>
  <c r="Q17" i="8" s="1"/>
  <c r="N23" i="8"/>
  <c r="L23" i="8"/>
  <c r="M21" i="8" s="1"/>
  <c r="J23" i="8"/>
  <c r="K17" i="8" s="1"/>
  <c r="H23" i="8"/>
  <c r="I17" i="8" s="1"/>
  <c r="F23" i="8"/>
  <c r="G18" i="8" s="1"/>
  <c r="D23" i="8"/>
  <c r="E21" i="8" s="1"/>
  <c r="B21" i="8"/>
  <c r="B20" i="8"/>
  <c r="B19" i="8"/>
  <c r="B18" i="8"/>
  <c r="B17" i="8"/>
  <c r="R23" i="7"/>
  <c r="P23" i="7"/>
  <c r="N23" i="7"/>
  <c r="L23" i="7"/>
  <c r="J23" i="7"/>
  <c r="H23" i="7"/>
  <c r="F23" i="7"/>
  <c r="D23" i="7"/>
  <c r="B21" i="7"/>
  <c r="B20" i="7"/>
  <c r="B19" i="7"/>
  <c r="B18" i="7"/>
  <c r="B17" i="7"/>
  <c r="R23" i="21"/>
  <c r="S19" i="21" s="1"/>
  <c r="P23" i="21"/>
  <c r="Q19" i="21" s="1"/>
  <c r="N23" i="21"/>
  <c r="L23" i="21"/>
  <c r="M21" i="21" s="1"/>
  <c r="J23" i="21"/>
  <c r="H23" i="21"/>
  <c r="I20" i="21" s="1"/>
  <c r="F23" i="21"/>
  <c r="G17" i="21" s="1"/>
  <c r="D23" i="21"/>
  <c r="E21" i="21" s="1"/>
  <c r="B21" i="21"/>
  <c r="B19" i="21"/>
  <c r="B18" i="21"/>
  <c r="B17" i="21"/>
  <c r="R23" i="20"/>
  <c r="S21" i="20" s="1"/>
  <c r="P23" i="20"/>
  <c r="Q19" i="20" s="1"/>
  <c r="N23" i="20"/>
  <c r="O20" i="20" s="1"/>
  <c r="L23" i="20"/>
  <c r="M21" i="20" s="1"/>
  <c r="K21" i="20"/>
  <c r="H23" i="20"/>
  <c r="I21" i="20" s="1"/>
  <c r="F23" i="20"/>
  <c r="G17" i="20" s="1"/>
  <c r="D23" i="20"/>
  <c r="E21" i="20" s="1"/>
  <c r="B21" i="20"/>
  <c r="Q20" i="20"/>
  <c r="B20" i="20"/>
  <c r="B19" i="20"/>
  <c r="B18" i="20"/>
  <c r="B17" i="20"/>
  <c r="R23" i="19"/>
  <c r="S18" i="19" s="1"/>
  <c r="P23" i="19"/>
  <c r="Q17" i="19" s="1"/>
  <c r="N23" i="19"/>
  <c r="O18" i="19" s="1"/>
  <c r="L23" i="19"/>
  <c r="M21" i="19" s="1"/>
  <c r="J23" i="19"/>
  <c r="K21" i="19" s="1"/>
  <c r="H23" i="19"/>
  <c r="I17" i="19" s="1"/>
  <c r="F23" i="19"/>
  <c r="G20" i="19" s="1"/>
  <c r="D23" i="19"/>
  <c r="E20" i="19" s="1"/>
  <c r="B21" i="19"/>
  <c r="B20" i="19"/>
  <c r="B19" i="19"/>
  <c r="B18" i="19"/>
  <c r="B17" i="19"/>
  <c r="D11" i="19"/>
  <c r="E11" i="19" s="1"/>
  <c r="B5" i="19"/>
  <c r="B6" i="19"/>
  <c r="B7" i="19"/>
  <c r="B8" i="19"/>
  <c r="B9" i="19"/>
  <c r="D11" i="18"/>
  <c r="R23" i="17"/>
  <c r="P23" i="17"/>
  <c r="N23" i="17"/>
  <c r="L23" i="17"/>
  <c r="J23" i="17"/>
  <c r="H23" i="17"/>
  <c r="F23" i="17"/>
  <c r="D23" i="17"/>
  <c r="B21" i="17"/>
  <c r="B20" i="17"/>
  <c r="B19" i="17"/>
  <c r="B18" i="17"/>
  <c r="B5" i="17"/>
  <c r="M17" i="15" l="1"/>
  <c r="M19" i="8"/>
  <c r="S21" i="19"/>
  <c r="S19" i="19"/>
  <c r="Q19" i="7"/>
  <c r="E8" i="18"/>
  <c r="K21" i="7"/>
  <c r="S18" i="7"/>
  <c r="I20" i="8"/>
  <c r="Q21" i="19"/>
  <c r="S21" i="21"/>
  <c r="Q21" i="21"/>
  <c r="S20" i="19"/>
  <c r="S23" i="19" s="1"/>
  <c r="K18" i="19"/>
  <c r="G21" i="19"/>
  <c r="S17" i="19"/>
  <c r="Q19" i="19"/>
  <c r="M18" i="19"/>
  <c r="K17" i="20"/>
  <c r="M17" i="20"/>
  <c r="Q18" i="20"/>
  <c r="E17" i="21"/>
  <c r="O18" i="7"/>
  <c r="E18" i="7"/>
  <c r="M19" i="7"/>
  <c r="M20" i="7"/>
  <c r="M17" i="7"/>
  <c r="E20" i="7"/>
  <c r="E21" i="7"/>
  <c r="I19" i="7"/>
  <c r="I20" i="7"/>
  <c r="I21" i="7"/>
  <c r="K17" i="7"/>
  <c r="I18" i="7"/>
  <c r="M18" i="8"/>
  <c r="O17" i="15"/>
  <c r="E18" i="15"/>
  <c r="E19" i="15"/>
  <c r="M18" i="15"/>
  <c r="M20" i="15"/>
  <c r="E18" i="19"/>
  <c r="K19" i="20"/>
  <c r="Q18" i="7"/>
  <c r="M17" i="8"/>
  <c r="E18" i="8"/>
  <c r="E19" i="8"/>
  <c r="G20" i="8"/>
  <c r="G17" i="19"/>
  <c r="G18" i="19"/>
  <c r="I18" i="20"/>
  <c r="I17" i="7"/>
  <c r="G17" i="8"/>
  <c r="I18" i="21"/>
  <c r="Q21" i="7"/>
  <c r="E20" i="8"/>
  <c r="Q18" i="8"/>
  <c r="G21" i="8"/>
  <c r="O21" i="8"/>
  <c r="E20" i="15"/>
  <c r="M21" i="15"/>
  <c r="K20" i="19"/>
  <c r="S19" i="20"/>
  <c r="I21" i="21"/>
  <c r="Q18" i="15"/>
  <c r="Q19" i="15"/>
  <c r="I18" i="15"/>
  <c r="I19" i="15"/>
  <c r="G19" i="15"/>
  <c r="S18" i="8"/>
  <c r="S19" i="8"/>
  <c r="Q21" i="8"/>
  <c r="O18" i="8"/>
  <c r="O17" i="8"/>
  <c r="M20" i="8"/>
  <c r="K19" i="8"/>
  <c r="B23" i="8"/>
  <c r="C18" i="8" s="1"/>
  <c r="E20" i="20"/>
  <c r="Q17" i="7"/>
  <c r="B23" i="7"/>
  <c r="C21" i="7" s="1"/>
  <c r="I18" i="8"/>
  <c r="O19" i="8"/>
  <c r="I21" i="8"/>
  <c r="O18" i="20"/>
  <c r="M20" i="20"/>
  <c r="Q21" i="20"/>
  <c r="S17" i="7"/>
  <c r="M18" i="7"/>
  <c r="E19" i="7"/>
  <c r="Q20" i="7"/>
  <c r="M21" i="7"/>
  <c r="E17" i="8"/>
  <c r="K18" i="8"/>
  <c r="I19" i="8"/>
  <c r="Q19" i="8"/>
  <c r="Q20" i="8"/>
  <c r="I17" i="15"/>
  <c r="O19" i="15"/>
  <c r="K20" i="15"/>
  <c r="G21" i="15"/>
  <c r="B23" i="15"/>
  <c r="R24" i="15" s="1"/>
  <c r="E5" i="18"/>
  <c r="E9" i="18"/>
  <c r="E7" i="19"/>
  <c r="E6" i="18"/>
  <c r="E11" i="18"/>
  <c r="E8" i="19"/>
  <c r="E7" i="18"/>
  <c r="E5" i="19"/>
  <c r="E9" i="19"/>
  <c r="G20" i="20"/>
  <c r="E17" i="7"/>
  <c r="O20" i="8"/>
  <c r="G17" i="15"/>
  <c r="Q17" i="15"/>
  <c r="Q21" i="15"/>
  <c r="E6" i="19"/>
  <c r="S17" i="21"/>
  <c r="Q17" i="21"/>
  <c r="Q20" i="21"/>
  <c r="M17" i="21"/>
  <c r="M18" i="21"/>
  <c r="M19" i="21"/>
  <c r="I17" i="21"/>
  <c r="I19" i="21"/>
  <c r="E20" i="21"/>
  <c r="Q18" i="21"/>
  <c r="O20" i="21"/>
  <c r="O18" i="21"/>
  <c r="M20" i="21"/>
  <c r="K17" i="21"/>
  <c r="K21" i="21"/>
  <c r="K19" i="21"/>
  <c r="G20" i="21"/>
  <c r="B23" i="21"/>
  <c r="G18" i="21"/>
  <c r="E18" i="21"/>
  <c r="E19" i="21"/>
  <c r="S17" i="20"/>
  <c r="Q17" i="20"/>
  <c r="M18" i="20"/>
  <c r="M19" i="20"/>
  <c r="I19" i="20"/>
  <c r="I20" i="20"/>
  <c r="I17" i="20"/>
  <c r="B23" i="20"/>
  <c r="P24" i="20" s="1"/>
  <c r="G18" i="20"/>
  <c r="E17" i="20"/>
  <c r="E18" i="20"/>
  <c r="E19" i="20"/>
  <c r="O20" i="19"/>
  <c r="O21" i="19"/>
  <c r="O19" i="19"/>
  <c r="O17" i="19"/>
  <c r="M20" i="19"/>
  <c r="K17" i="19"/>
  <c r="K19" i="19"/>
  <c r="I21" i="19"/>
  <c r="I19" i="19"/>
  <c r="G19" i="19"/>
  <c r="B23" i="19"/>
  <c r="C19" i="19" s="1"/>
  <c r="K17" i="15"/>
  <c r="S17" i="15"/>
  <c r="G18" i="15"/>
  <c r="O18" i="15"/>
  <c r="K19" i="15"/>
  <c r="S19" i="15"/>
  <c r="G20" i="15"/>
  <c r="O20" i="15"/>
  <c r="K21" i="15"/>
  <c r="S21" i="15"/>
  <c r="I20" i="15"/>
  <c r="Q20" i="15"/>
  <c r="E21" i="15"/>
  <c r="K21" i="8"/>
  <c r="S21" i="8"/>
  <c r="G19" i="8"/>
  <c r="K20" i="8"/>
  <c r="S20" i="8"/>
  <c r="G17" i="7"/>
  <c r="O17" i="7"/>
  <c r="K18" i="7"/>
  <c r="G19" i="7"/>
  <c r="O19" i="7"/>
  <c r="K20" i="7"/>
  <c r="S20" i="7"/>
  <c r="G21" i="7"/>
  <c r="O21" i="7"/>
  <c r="G18" i="7"/>
  <c r="K19" i="7"/>
  <c r="S19" i="7"/>
  <c r="G20" i="7"/>
  <c r="O20" i="7"/>
  <c r="S21" i="7"/>
  <c r="O17" i="21"/>
  <c r="K18" i="21"/>
  <c r="S18" i="21"/>
  <c r="G19" i="21"/>
  <c r="O19" i="21"/>
  <c r="K20" i="21"/>
  <c r="S20" i="21"/>
  <c r="G21" i="21"/>
  <c r="O21" i="21"/>
  <c r="O17" i="20"/>
  <c r="S18" i="20"/>
  <c r="G19" i="20"/>
  <c r="O19" i="20"/>
  <c r="K20" i="20"/>
  <c r="S20" i="20"/>
  <c r="G21" i="20"/>
  <c r="O21" i="20"/>
  <c r="K18" i="20"/>
  <c r="L24" i="19"/>
  <c r="E17" i="19"/>
  <c r="M17" i="19"/>
  <c r="I18" i="19"/>
  <c r="Q18" i="19"/>
  <c r="E19" i="19"/>
  <c r="M19" i="19"/>
  <c r="I20" i="19"/>
  <c r="Q20" i="19"/>
  <c r="E21" i="19"/>
  <c r="B11" i="19"/>
  <c r="C11" i="19" s="1"/>
  <c r="R9" i="1"/>
  <c r="R8" i="1"/>
  <c r="R7" i="1"/>
  <c r="R6" i="1"/>
  <c r="R5" i="1"/>
  <c r="P8" i="1"/>
  <c r="P7" i="1"/>
  <c r="P6" i="1"/>
  <c r="P5" i="1"/>
  <c r="N8" i="1"/>
  <c r="N7" i="1"/>
  <c r="N6" i="1"/>
  <c r="N5" i="1"/>
  <c r="L8" i="1"/>
  <c r="L7" i="1"/>
  <c r="L6" i="1"/>
  <c r="L5" i="1"/>
  <c r="J8" i="1"/>
  <c r="J7" i="1"/>
  <c r="J6" i="1"/>
  <c r="J5" i="1"/>
  <c r="H8" i="1"/>
  <c r="H7" i="1"/>
  <c r="H6" i="1"/>
  <c r="H5" i="1"/>
  <c r="F8" i="1"/>
  <c r="F7" i="1"/>
  <c r="F6" i="1"/>
  <c r="F5" i="1"/>
  <c r="D6" i="1"/>
  <c r="D8" i="1"/>
  <c r="D9" i="1"/>
  <c r="D5" i="1"/>
  <c r="B11" i="15"/>
  <c r="B12" i="15" s="1"/>
  <c r="R11" i="17"/>
  <c r="S5" i="17" s="1"/>
  <c r="P11" i="17"/>
  <c r="Q9" i="17" s="1"/>
  <c r="N11" i="17"/>
  <c r="O8" i="17" s="1"/>
  <c r="L11" i="17"/>
  <c r="M9" i="17" s="1"/>
  <c r="J11" i="17"/>
  <c r="K11" i="17" s="1"/>
  <c r="H11" i="17"/>
  <c r="I5" i="17" s="1"/>
  <c r="F11" i="17"/>
  <c r="G11" i="17" s="1"/>
  <c r="D11" i="17"/>
  <c r="E11" i="17" s="1"/>
  <c r="B9" i="17"/>
  <c r="B8" i="17"/>
  <c r="B7" i="17"/>
  <c r="B6" i="17"/>
  <c r="N9" i="1"/>
  <c r="J11" i="13"/>
  <c r="F11" i="13"/>
  <c r="P9" i="1"/>
  <c r="J9" i="1"/>
  <c r="H9" i="1"/>
  <c r="F23" i="22"/>
  <c r="G23" i="22" s="1"/>
  <c r="B21" i="22"/>
  <c r="B20" i="22"/>
  <c r="B19" i="22"/>
  <c r="B18" i="22"/>
  <c r="B17" i="22"/>
  <c r="R23" i="22"/>
  <c r="S23" i="22" s="1"/>
  <c r="P23" i="22"/>
  <c r="Q23" i="22" s="1"/>
  <c r="N23" i="22"/>
  <c r="O23" i="22" s="1"/>
  <c r="L23" i="22"/>
  <c r="M23" i="22" s="1"/>
  <c r="J23" i="22"/>
  <c r="K23" i="22" s="1"/>
  <c r="H23" i="22"/>
  <c r="I23" i="22" s="1"/>
  <c r="D23" i="22"/>
  <c r="R11" i="22"/>
  <c r="S5" i="22" s="1"/>
  <c r="N11" i="22"/>
  <c r="O11" i="22" s="1"/>
  <c r="J11" i="22"/>
  <c r="K11" i="22" s="1"/>
  <c r="F11" i="22"/>
  <c r="G11" i="22" s="1"/>
  <c r="D11" i="22"/>
  <c r="B8" i="22"/>
  <c r="B7" i="22"/>
  <c r="B6" i="22"/>
  <c r="B5" i="22"/>
  <c r="R11" i="19"/>
  <c r="P11" i="19"/>
  <c r="N11" i="19"/>
  <c r="L11" i="19"/>
  <c r="J11" i="19"/>
  <c r="H11" i="19"/>
  <c r="F11" i="19"/>
  <c r="R11" i="21"/>
  <c r="P11" i="21"/>
  <c r="N11" i="21"/>
  <c r="L11" i="21"/>
  <c r="J11" i="21"/>
  <c r="H11" i="21"/>
  <c r="D11" i="21"/>
  <c r="F11" i="21"/>
  <c r="B8" i="21"/>
  <c r="B7" i="21"/>
  <c r="B6" i="21"/>
  <c r="B5" i="21"/>
  <c r="R11" i="20"/>
  <c r="P11" i="20"/>
  <c r="N11" i="20"/>
  <c r="D11" i="20"/>
  <c r="B9" i="20"/>
  <c r="B8" i="20"/>
  <c r="B7" i="20"/>
  <c r="B6" i="20"/>
  <c r="B5" i="20"/>
  <c r="B9" i="18"/>
  <c r="B8" i="18"/>
  <c r="B7" i="18"/>
  <c r="B6" i="18"/>
  <c r="B5" i="18"/>
  <c r="R11" i="18"/>
  <c r="P11" i="18"/>
  <c r="N11" i="18"/>
  <c r="L11" i="18"/>
  <c r="J11" i="18"/>
  <c r="H11" i="18"/>
  <c r="F11" i="18"/>
  <c r="B11" i="18" s="1"/>
  <c r="B21" i="18"/>
  <c r="B20" i="18"/>
  <c r="B19" i="18"/>
  <c r="B18" i="18"/>
  <c r="B17" i="18"/>
  <c r="R23" i="18"/>
  <c r="P23" i="18"/>
  <c r="N23" i="18"/>
  <c r="L23" i="18"/>
  <c r="J23" i="18"/>
  <c r="H23" i="18"/>
  <c r="F23" i="18"/>
  <c r="D23" i="18"/>
  <c r="R23" i="16"/>
  <c r="P23" i="16"/>
  <c r="N23" i="16"/>
  <c r="L23" i="16"/>
  <c r="J23" i="16"/>
  <c r="H23" i="16"/>
  <c r="F23" i="16"/>
  <c r="D23" i="16"/>
  <c r="S11" i="16"/>
  <c r="P11" i="16"/>
  <c r="Q9" i="16" s="1"/>
  <c r="N11" i="16"/>
  <c r="O11" i="16" s="1"/>
  <c r="L11" i="16"/>
  <c r="M11" i="16" s="1"/>
  <c r="J11" i="16"/>
  <c r="K11" i="16" s="1"/>
  <c r="H11" i="16"/>
  <c r="I11" i="16" s="1"/>
  <c r="F11" i="16"/>
  <c r="G11" i="16" s="1"/>
  <c r="D11" i="16"/>
  <c r="E7" i="16" s="1"/>
  <c r="B9" i="16"/>
  <c r="B8" i="16"/>
  <c r="B7" i="16"/>
  <c r="B6" i="16"/>
  <c r="B5" i="16"/>
  <c r="R23" i="13"/>
  <c r="P23" i="13"/>
  <c r="N23" i="13"/>
  <c r="L23" i="13"/>
  <c r="J23" i="13"/>
  <c r="H23" i="13"/>
  <c r="F23" i="13"/>
  <c r="F24" i="13" s="1"/>
  <c r="D23" i="13"/>
  <c r="C20" i="13"/>
  <c r="C23" i="13"/>
  <c r="C18" i="13"/>
  <c r="R11" i="13"/>
  <c r="S11" i="13" s="1"/>
  <c r="P11" i="13"/>
  <c r="Q9" i="13" s="1"/>
  <c r="N11" i="13"/>
  <c r="O5" i="13" s="1"/>
  <c r="H11" i="13"/>
  <c r="I6" i="13" s="1"/>
  <c r="D11" i="13"/>
  <c r="E9" i="13" s="1"/>
  <c r="B8" i="13"/>
  <c r="B7" i="13"/>
  <c r="B6" i="13"/>
  <c r="P11" i="8"/>
  <c r="B9" i="8"/>
  <c r="J11" i="15"/>
  <c r="H11" i="15"/>
  <c r="L11" i="15"/>
  <c r="N11" i="15"/>
  <c r="P11" i="15"/>
  <c r="R11" i="15"/>
  <c r="B5" i="8"/>
  <c r="B6" i="8"/>
  <c r="B7" i="8"/>
  <c r="B8" i="8"/>
  <c r="D11" i="8"/>
  <c r="R11" i="8"/>
  <c r="B5" i="7"/>
  <c r="B6" i="7"/>
  <c r="B7" i="7"/>
  <c r="B8" i="7"/>
  <c r="B9" i="7"/>
  <c r="D11" i="7"/>
  <c r="F11" i="7"/>
  <c r="H11" i="7"/>
  <c r="J11" i="7"/>
  <c r="L11" i="7"/>
  <c r="N11" i="7"/>
  <c r="P11" i="7"/>
  <c r="R11" i="7"/>
  <c r="N11" i="8"/>
  <c r="L11" i="8"/>
  <c r="J11" i="8"/>
  <c r="F11" i="8"/>
  <c r="S5" i="13"/>
  <c r="C17" i="13"/>
  <c r="C19" i="13"/>
  <c r="C21" i="13"/>
  <c r="B9" i="21"/>
  <c r="H11" i="8"/>
  <c r="E23" i="22"/>
  <c r="S9" i="16"/>
  <c r="I5" i="16"/>
  <c r="S8" i="17"/>
  <c r="I23" i="7" l="1"/>
  <c r="E23" i="7"/>
  <c r="G17" i="18"/>
  <c r="G21" i="18"/>
  <c r="G18" i="18"/>
  <c r="G23" i="18" s="1"/>
  <c r="G20" i="18"/>
  <c r="G19" i="18"/>
  <c r="O17" i="18"/>
  <c r="O21" i="18"/>
  <c r="O20" i="18"/>
  <c r="O19" i="18"/>
  <c r="O18" i="18"/>
  <c r="I18" i="18"/>
  <c r="I17" i="18"/>
  <c r="I21" i="18"/>
  <c r="I19" i="18"/>
  <c r="I20" i="18"/>
  <c r="Q18" i="18"/>
  <c r="Q19" i="18"/>
  <c r="Q17" i="18"/>
  <c r="Q21" i="18"/>
  <c r="Q20" i="18"/>
  <c r="K19" i="18"/>
  <c r="K18" i="18"/>
  <c r="K17" i="18"/>
  <c r="K21" i="18"/>
  <c r="K20" i="18"/>
  <c r="E20" i="18"/>
  <c r="E21" i="18"/>
  <c r="E19" i="18"/>
  <c r="E18" i="18"/>
  <c r="E17" i="18"/>
  <c r="M20" i="18"/>
  <c r="M19" i="18"/>
  <c r="M17" i="18"/>
  <c r="M21" i="18"/>
  <c r="M18" i="18"/>
  <c r="O17" i="16"/>
  <c r="O18" i="16"/>
  <c r="O19" i="16"/>
  <c r="O20" i="16"/>
  <c r="O21" i="16"/>
  <c r="I17" i="16"/>
  <c r="I18" i="16"/>
  <c r="I19" i="16"/>
  <c r="I20" i="16"/>
  <c r="I21" i="16"/>
  <c r="Q17" i="16"/>
  <c r="Q18" i="16"/>
  <c r="Q19" i="16"/>
  <c r="Q20" i="16"/>
  <c r="Q21" i="16"/>
  <c r="G23" i="16"/>
  <c r="G17" i="16"/>
  <c r="G18" i="16"/>
  <c r="G19" i="16"/>
  <c r="G20" i="16"/>
  <c r="G21" i="16"/>
  <c r="K17" i="16"/>
  <c r="K18" i="16"/>
  <c r="K19" i="16"/>
  <c r="K20" i="16"/>
  <c r="K21" i="16"/>
  <c r="S17" i="16"/>
  <c r="S18" i="16"/>
  <c r="S19" i="16"/>
  <c r="S20" i="16"/>
  <c r="S21" i="16"/>
  <c r="E17" i="16"/>
  <c r="E18" i="16"/>
  <c r="E19" i="16"/>
  <c r="E20" i="16"/>
  <c r="E21" i="16"/>
  <c r="M17" i="16"/>
  <c r="M18" i="16"/>
  <c r="M19" i="16"/>
  <c r="M20" i="16"/>
  <c r="M21" i="16"/>
  <c r="E18" i="13"/>
  <c r="E17" i="13"/>
  <c r="E21" i="13"/>
  <c r="E20" i="13"/>
  <c r="E19" i="13"/>
  <c r="G19" i="13"/>
  <c r="G18" i="13"/>
  <c r="G17" i="13"/>
  <c r="G21" i="13"/>
  <c r="G20" i="13"/>
  <c r="O19" i="13"/>
  <c r="O18" i="13"/>
  <c r="O17" i="13"/>
  <c r="O21" i="13"/>
  <c r="O20" i="13"/>
  <c r="I20" i="13"/>
  <c r="I19" i="13"/>
  <c r="I18" i="13"/>
  <c r="I17" i="13"/>
  <c r="I21" i="13"/>
  <c r="Q20" i="13"/>
  <c r="Q19" i="13"/>
  <c r="Q18" i="13"/>
  <c r="Q17" i="13"/>
  <c r="Q21" i="13"/>
  <c r="K17" i="13"/>
  <c r="K21" i="13"/>
  <c r="K20" i="13"/>
  <c r="K19" i="13"/>
  <c r="K18" i="13"/>
  <c r="M18" i="13"/>
  <c r="M17" i="13"/>
  <c r="M21" i="13"/>
  <c r="M20" i="13"/>
  <c r="M19" i="13"/>
  <c r="S17" i="13"/>
  <c r="S18" i="13"/>
  <c r="S19" i="13"/>
  <c r="S20" i="13"/>
  <c r="S21" i="13"/>
  <c r="L24" i="13"/>
  <c r="O23" i="13"/>
  <c r="P24" i="7"/>
  <c r="I11" i="17"/>
  <c r="D12" i="7"/>
  <c r="F24" i="7"/>
  <c r="J24" i="7"/>
  <c r="L24" i="7"/>
  <c r="R24" i="7"/>
  <c r="H24" i="7"/>
  <c r="K5" i="22"/>
  <c r="S9" i="13"/>
  <c r="D24" i="7"/>
  <c r="N24" i="7"/>
  <c r="S6" i="17"/>
  <c r="Q6" i="13"/>
  <c r="Q23" i="7"/>
  <c r="J24" i="15"/>
  <c r="S23" i="7"/>
  <c r="O23" i="7"/>
  <c r="M23" i="7"/>
  <c r="K23" i="7"/>
  <c r="G23" i="7"/>
  <c r="M6" i="17"/>
  <c r="M8" i="17"/>
  <c r="M11" i="17"/>
  <c r="E23" i="13"/>
  <c r="S8" i="22"/>
  <c r="S9" i="22"/>
  <c r="K7" i="22"/>
  <c r="K9" i="22"/>
  <c r="G6" i="22"/>
  <c r="R24" i="13"/>
  <c r="K23" i="13"/>
  <c r="I7" i="13"/>
  <c r="G5" i="16"/>
  <c r="E8" i="16"/>
  <c r="Q5" i="16"/>
  <c r="E11" i="16"/>
  <c r="O7" i="16"/>
  <c r="S7" i="17"/>
  <c r="O9" i="17"/>
  <c r="G9" i="17"/>
  <c r="C11" i="18"/>
  <c r="G23" i="19"/>
  <c r="K23" i="20"/>
  <c r="C19" i="7"/>
  <c r="C17" i="7"/>
  <c r="G23" i="8"/>
  <c r="M23" i="8"/>
  <c r="E23" i="15"/>
  <c r="M23" i="15"/>
  <c r="B7" i="1"/>
  <c r="O6" i="16"/>
  <c r="B11" i="7"/>
  <c r="C11" i="7" s="1"/>
  <c r="S7" i="22"/>
  <c r="M8" i="16"/>
  <c r="E5" i="16"/>
  <c r="O5" i="16"/>
  <c r="S7" i="13"/>
  <c r="J24" i="13"/>
  <c r="E5" i="13"/>
  <c r="Q7" i="13"/>
  <c r="O6" i="17"/>
  <c r="Q23" i="20"/>
  <c r="E11" i="13"/>
  <c r="S6" i="13"/>
  <c r="B11" i="8"/>
  <c r="C11" i="8" s="1"/>
  <c r="B11" i="20"/>
  <c r="C11" i="20" s="1"/>
  <c r="O5" i="17"/>
  <c r="O11" i="17"/>
  <c r="C19" i="15"/>
  <c r="G6" i="16"/>
  <c r="G7" i="16"/>
  <c r="S8" i="13"/>
  <c r="I7" i="17"/>
  <c r="E23" i="8"/>
  <c r="K5" i="13"/>
  <c r="K11" i="13"/>
  <c r="K9" i="13"/>
  <c r="K8" i="13"/>
  <c r="Q11" i="17"/>
  <c r="S9" i="17"/>
  <c r="K9" i="17"/>
  <c r="G8" i="17"/>
  <c r="I6" i="16"/>
  <c r="Q8" i="13"/>
  <c r="G8" i="22"/>
  <c r="G5" i="22"/>
  <c r="Q11" i="13"/>
  <c r="Q5" i="13"/>
  <c r="E6" i="13"/>
  <c r="S23" i="13"/>
  <c r="Q5" i="17"/>
  <c r="K6" i="17"/>
  <c r="Q7" i="17"/>
  <c r="Q8" i="17"/>
  <c r="S11" i="17"/>
  <c r="C9" i="15"/>
  <c r="M23" i="20"/>
  <c r="E23" i="21"/>
  <c r="C21" i="15"/>
  <c r="Q23" i="8"/>
  <c r="K23" i="8"/>
  <c r="I23" i="8"/>
  <c r="C5" i="19"/>
  <c r="S23" i="8"/>
  <c r="P24" i="15"/>
  <c r="J24" i="8"/>
  <c r="L24" i="15"/>
  <c r="D24" i="15"/>
  <c r="N24" i="8"/>
  <c r="F24" i="8"/>
  <c r="L24" i="8"/>
  <c r="D24" i="8"/>
  <c r="C20" i="15"/>
  <c r="B24" i="15"/>
  <c r="O23" i="15"/>
  <c r="C7" i="19"/>
  <c r="O23" i="8"/>
  <c r="H24" i="15"/>
  <c r="R24" i="8"/>
  <c r="N24" i="15"/>
  <c r="F24" i="15"/>
  <c r="H24" i="8"/>
  <c r="P24" i="8"/>
  <c r="S23" i="15"/>
  <c r="Q23" i="15"/>
  <c r="K23" i="15"/>
  <c r="C17" i="15"/>
  <c r="I23" i="15"/>
  <c r="G23" i="15"/>
  <c r="C17" i="8"/>
  <c r="C21" i="8"/>
  <c r="C19" i="8"/>
  <c r="C20" i="8"/>
  <c r="G11" i="13"/>
  <c r="G6" i="13"/>
  <c r="G9" i="13"/>
  <c r="G7" i="13"/>
  <c r="G5" i="13"/>
  <c r="G8" i="13"/>
  <c r="C11" i="15"/>
  <c r="P12" i="15"/>
  <c r="J12" i="15"/>
  <c r="R12" i="15"/>
  <c r="N12" i="15"/>
  <c r="F12" i="15"/>
  <c r="L12" i="15"/>
  <c r="S11" i="8"/>
  <c r="S6" i="8"/>
  <c r="S9" i="8"/>
  <c r="S5" i="8"/>
  <c r="S7" i="8"/>
  <c r="S8" i="8"/>
  <c r="G9" i="7"/>
  <c r="G5" i="7"/>
  <c r="G8" i="7"/>
  <c r="G7" i="7"/>
  <c r="G6" i="7"/>
  <c r="G11" i="7"/>
  <c r="I11" i="15"/>
  <c r="I6" i="15"/>
  <c r="I9" i="15"/>
  <c r="I5" i="15"/>
  <c r="I7" i="15"/>
  <c r="I8" i="15"/>
  <c r="I5" i="13"/>
  <c r="K5" i="16"/>
  <c r="Q23" i="13"/>
  <c r="O8" i="13"/>
  <c r="I8" i="13"/>
  <c r="G9" i="22"/>
  <c r="B11" i="21"/>
  <c r="C8" i="21" s="1"/>
  <c r="E9" i="16"/>
  <c r="M7" i="16"/>
  <c r="I11" i="13"/>
  <c r="K7" i="13"/>
  <c r="K6" i="13"/>
  <c r="H12" i="15"/>
  <c r="G7" i="8"/>
  <c r="G8" i="8"/>
  <c r="G6" i="8"/>
  <c r="G11" i="8"/>
  <c r="G5" i="8"/>
  <c r="G9" i="8"/>
  <c r="S8" i="7"/>
  <c r="S7" i="7"/>
  <c r="S9" i="7"/>
  <c r="S5" i="7"/>
  <c r="S11" i="7"/>
  <c r="S6" i="7"/>
  <c r="K8" i="7"/>
  <c r="K7" i="7"/>
  <c r="K9" i="7"/>
  <c r="K5" i="7"/>
  <c r="K11" i="7"/>
  <c r="K6" i="7"/>
  <c r="O11" i="15"/>
  <c r="O6" i="15"/>
  <c r="O9" i="15"/>
  <c r="O5" i="15"/>
  <c r="O7" i="15"/>
  <c r="O8" i="15"/>
  <c r="G7" i="15"/>
  <c r="G6" i="15"/>
  <c r="G11" i="15"/>
  <c r="G5" i="15"/>
  <c r="G9" i="15"/>
  <c r="G8" i="15"/>
  <c r="E8" i="13"/>
  <c r="I9" i="13"/>
  <c r="O11" i="13"/>
  <c r="G9" i="18"/>
  <c r="G5" i="18"/>
  <c r="G6" i="18"/>
  <c r="G11" i="18"/>
  <c r="G8" i="18"/>
  <c r="G7" i="18"/>
  <c r="O8" i="18"/>
  <c r="O7" i="18"/>
  <c r="O9" i="18"/>
  <c r="O5" i="18"/>
  <c r="O11" i="18"/>
  <c r="O6" i="18"/>
  <c r="C6" i="18"/>
  <c r="C5" i="20"/>
  <c r="K8" i="20"/>
  <c r="K7" i="20"/>
  <c r="K9" i="20"/>
  <c r="K6" i="20"/>
  <c r="K11" i="20"/>
  <c r="S8" i="20"/>
  <c r="S7" i="20"/>
  <c r="S9" i="20"/>
  <c r="S5" i="20"/>
  <c r="S6" i="20"/>
  <c r="S11" i="20"/>
  <c r="I7" i="21"/>
  <c r="I9" i="21"/>
  <c r="I8" i="21"/>
  <c r="I6" i="21"/>
  <c r="I11" i="21"/>
  <c r="I5" i="21"/>
  <c r="Q11" i="21"/>
  <c r="Q6" i="21"/>
  <c r="Q9" i="21"/>
  <c r="Q5" i="21"/>
  <c r="Q7" i="21"/>
  <c r="Q8" i="21"/>
  <c r="I7" i="19"/>
  <c r="I11" i="19"/>
  <c r="I5" i="19"/>
  <c r="I9" i="19"/>
  <c r="I8" i="19"/>
  <c r="I6" i="19"/>
  <c r="H12" i="19"/>
  <c r="Q11" i="19"/>
  <c r="Q6" i="19"/>
  <c r="Q9" i="19"/>
  <c r="Q5" i="19"/>
  <c r="Q7" i="19"/>
  <c r="Q8" i="19"/>
  <c r="P12" i="19"/>
  <c r="M5" i="17"/>
  <c r="G6" i="17"/>
  <c r="Q6" i="17"/>
  <c r="M7" i="17"/>
  <c r="I8" i="17"/>
  <c r="C5" i="15"/>
  <c r="C20" i="7"/>
  <c r="S23" i="20"/>
  <c r="D12" i="19"/>
  <c r="C18" i="15"/>
  <c r="C6" i="19"/>
  <c r="K11" i="8"/>
  <c r="K6" i="8"/>
  <c r="K9" i="8"/>
  <c r="K5" i="8"/>
  <c r="K7" i="8"/>
  <c r="K8" i="8"/>
  <c r="I8" i="7"/>
  <c r="I9" i="7"/>
  <c r="I5" i="7"/>
  <c r="I11" i="7"/>
  <c r="I7" i="7"/>
  <c r="I6" i="7"/>
  <c r="C6" i="8"/>
  <c r="M11" i="15"/>
  <c r="M6" i="15"/>
  <c r="M9" i="15"/>
  <c r="M5" i="15"/>
  <c r="M7" i="15"/>
  <c r="M8" i="15"/>
  <c r="I9" i="18"/>
  <c r="I5" i="18"/>
  <c r="I6" i="18"/>
  <c r="I11" i="18"/>
  <c r="I8" i="18"/>
  <c r="I7" i="18"/>
  <c r="Q8" i="18"/>
  <c r="Q7" i="18"/>
  <c r="Q9" i="18"/>
  <c r="Q5" i="18"/>
  <c r="Q11" i="18"/>
  <c r="Q6" i="18"/>
  <c r="C7" i="18"/>
  <c r="C6" i="20"/>
  <c r="E8" i="20"/>
  <c r="E7" i="20"/>
  <c r="E11" i="20"/>
  <c r="E6" i="20"/>
  <c r="E9" i="20"/>
  <c r="E5" i="20"/>
  <c r="M8" i="20"/>
  <c r="M7" i="20"/>
  <c r="M9" i="20"/>
  <c r="M6" i="20"/>
  <c r="M11" i="20"/>
  <c r="K11" i="21"/>
  <c r="K6" i="21"/>
  <c r="K9" i="21"/>
  <c r="K5" i="21"/>
  <c r="K7" i="21"/>
  <c r="K8" i="21"/>
  <c r="S11" i="21"/>
  <c r="S6" i="21"/>
  <c r="S9" i="21"/>
  <c r="S5" i="21"/>
  <c r="S7" i="21"/>
  <c r="S8" i="21"/>
  <c r="K11" i="19"/>
  <c r="K6" i="19"/>
  <c r="K9" i="19"/>
  <c r="K5" i="19"/>
  <c r="K7" i="19"/>
  <c r="J12" i="19"/>
  <c r="K8" i="19"/>
  <c r="S11" i="19"/>
  <c r="S6" i="19"/>
  <c r="S9" i="19"/>
  <c r="S5" i="19"/>
  <c r="S7" i="19"/>
  <c r="S8" i="19"/>
  <c r="R12" i="19"/>
  <c r="S6" i="22"/>
  <c r="S11" i="22"/>
  <c r="F9" i="1"/>
  <c r="F11" i="1" s="1"/>
  <c r="C6" i="15"/>
  <c r="Q8" i="7"/>
  <c r="Q7" i="7"/>
  <c r="Q9" i="7"/>
  <c r="Q5" i="7"/>
  <c r="Q11" i="7"/>
  <c r="Q6" i="7"/>
  <c r="O8" i="7"/>
  <c r="O7" i="7"/>
  <c r="O9" i="7"/>
  <c r="O5" i="7"/>
  <c r="O11" i="7"/>
  <c r="O6" i="7"/>
  <c r="K8" i="18"/>
  <c r="K7" i="18"/>
  <c r="K9" i="18"/>
  <c r="K5" i="18"/>
  <c r="J12" i="18"/>
  <c r="K11" i="18"/>
  <c r="K6" i="18"/>
  <c r="C8" i="18"/>
  <c r="G9" i="20"/>
  <c r="G5" i="20"/>
  <c r="G11" i="20"/>
  <c r="G8" i="20"/>
  <c r="G7" i="20"/>
  <c r="G6" i="20"/>
  <c r="O8" i="20"/>
  <c r="O7" i="20"/>
  <c r="O9" i="20"/>
  <c r="O5" i="20"/>
  <c r="O6" i="20"/>
  <c r="O11" i="20"/>
  <c r="G7" i="21"/>
  <c r="G9" i="21"/>
  <c r="G8" i="21"/>
  <c r="G6" i="21"/>
  <c r="G11" i="21"/>
  <c r="G5" i="21"/>
  <c r="M11" i="21"/>
  <c r="M6" i="21"/>
  <c r="M9" i="21"/>
  <c r="M5" i="21"/>
  <c r="M7" i="21"/>
  <c r="M8" i="21"/>
  <c r="M11" i="19"/>
  <c r="M6" i="19"/>
  <c r="M9" i="19"/>
  <c r="M5" i="19"/>
  <c r="M7" i="19"/>
  <c r="M8" i="19"/>
  <c r="L12" i="19"/>
  <c r="C7" i="15"/>
  <c r="Q23" i="19"/>
  <c r="I11" i="8"/>
  <c r="I6" i="8"/>
  <c r="I9" i="8"/>
  <c r="I5" i="8"/>
  <c r="I7" i="8"/>
  <c r="I8" i="8"/>
  <c r="M11" i="8"/>
  <c r="M6" i="8"/>
  <c r="M9" i="8"/>
  <c r="M5" i="8"/>
  <c r="M7" i="8"/>
  <c r="M8" i="8"/>
  <c r="E11" i="8"/>
  <c r="E6" i="8"/>
  <c r="E9" i="8"/>
  <c r="E5" i="8"/>
  <c r="E8" i="8"/>
  <c r="E7" i="8"/>
  <c r="S11" i="15"/>
  <c r="S6" i="15"/>
  <c r="S9" i="15"/>
  <c r="S5" i="15"/>
  <c r="S7" i="15"/>
  <c r="S8" i="15"/>
  <c r="Q11" i="8"/>
  <c r="Q6" i="8"/>
  <c r="Q9" i="8"/>
  <c r="Q5" i="8"/>
  <c r="Q7" i="8"/>
  <c r="Q8" i="8"/>
  <c r="S8" i="18"/>
  <c r="S7" i="18"/>
  <c r="S9" i="18"/>
  <c r="S5" i="18"/>
  <c r="S11" i="18"/>
  <c r="S6" i="18"/>
  <c r="E7" i="13"/>
  <c r="E23" i="16"/>
  <c r="O9" i="13"/>
  <c r="O7" i="13"/>
  <c r="O6" i="13"/>
  <c r="O11" i="8"/>
  <c r="O6" i="8"/>
  <c r="O9" i="8"/>
  <c r="O5" i="8"/>
  <c r="O7" i="8"/>
  <c r="O8" i="8"/>
  <c r="M8" i="7"/>
  <c r="M7" i="7"/>
  <c r="M9" i="7"/>
  <c r="M5" i="7"/>
  <c r="M11" i="7"/>
  <c r="M6" i="7"/>
  <c r="E8" i="7"/>
  <c r="E7" i="7"/>
  <c r="E11" i="7"/>
  <c r="E6" i="7"/>
  <c r="E9" i="7"/>
  <c r="E5" i="7"/>
  <c r="Q9" i="15"/>
  <c r="Q6" i="15"/>
  <c r="Q11" i="15"/>
  <c r="Q5" i="15"/>
  <c r="Q7" i="15"/>
  <c r="Q8" i="15"/>
  <c r="K11" i="15"/>
  <c r="K6" i="15"/>
  <c r="K9" i="15"/>
  <c r="K5" i="15"/>
  <c r="K7" i="15"/>
  <c r="K8" i="15"/>
  <c r="E7" i="15"/>
  <c r="E6" i="15"/>
  <c r="E11" i="15"/>
  <c r="E5" i="15"/>
  <c r="E9" i="15"/>
  <c r="E8" i="15"/>
  <c r="M8" i="18"/>
  <c r="M7" i="18"/>
  <c r="M9" i="18"/>
  <c r="M5" i="18"/>
  <c r="M11" i="18"/>
  <c r="M6" i="18"/>
  <c r="I9" i="20"/>
  <c r="I5" i="20"/>
  <c r="I11" i="20"/>
  <c r="I8" i="20"/>
  <c r="I7" i="20"/>
  <c r="I6" i="20"/>
  <c r="Q8" i="20"/>
  <c r="Q7" i="20"/>
  <c r="Q9" i="20"/>
  <c r="Q5" i="20"/>
  <c r="Q6" i="20"/>
  <c r="Q11" i="20"/>
  <c r="E11" i="21"/>
  <c r="E6" i="21"/>
  <c r="E9" i="21"/>
  <c r="E5" i="21"/>
  <c r="E8" i="21"/>
  <c r="E7" i="21"/>
  <c r="O11" i="21"/>
  <c r="O6" i="21"/>
  <c r="O9" i="21"/>
  <c r="O5" i="21"/>
  <c r="O7" i="21"/>
  <c r="O8" i="21"/>
  <c r="G7" i="19"/>
  <c r="G11" i="19"/>
  <c r="G5" i="19"/>
  <c r="G9" i="19"/>
  <c r="G8" i="19"/>
  <c r="G6" i="19"/>
  <c r="F12" i="19"/>
  <c r="O11" i="19"/>
  <c r="O6" i="19"/>
  <c r="O9" i="19"/>
  <c r="O5" i="19"/>
  <c r="O7" i="19"/>
  <c r="O8" i="19"/>
  <c r="N12" i="19"/>
  <c r="C8" i="15"/>
  <c r="H11" i="1"/>
  <c r="I8" i="1" s="1"/>
  <c r="I23" i="19"/>
  <c r="O23" i="20"/>
  <c r="C18" i="7"/>
  <c r="G23" i="20"/>
  <c r="I23" i="21"/>
  <c r="C9" i="19"/>
  <c r="C8" i="19"/>
  <c r="S23" i="21"/>
  <c r="Q23" i="21"/>
  <c r="M23" i="21"/>
  <c r="G23" i="21"/>
  <c r="C19" i="21"/>
  <c r="R24" i="21"/>
  <c r="P24" i="21"/>
  <c r="N24" i="21"/>
  <c r="J24" i="21"/>
  <c r="F24" i="21"/>
  <c r="L24" i="21"/>
  <c r="H24" i="21"/>
  <c r="D24" i="21"/>
  <c r="C20" i="21"/>
  <c r="O23" i="21"/>
  <c r="C18" i="21"/>
  <c r="K23" i="21"/>
  <c r="C21" i="21"/>
  <c r="C17" i="21"/>
  <c r="R24" i="20"/>
  <c r="N24" i="20"/>
  <c r="L24" i="20"/>
  <c r="C21" i="20"/>
  <c r="H24" i="20"/>
  <c r="J24" i="20"/>
  <c r="C19" i="20"/>
  <c r="F24" i="20"/>
  <c r="C20" i="20"/>
  <c r="C17" i="20"/>
  <c r="C18" i="20"/>
  <c r="D24" i="20"/>
  <c r="I23" i="20"/>
  <c r="E23" i="20"/>
  <c r="C20" i="19"/>
  <c r="O23" i="19"/>
  <c r="P24" i="19"/>
  <c r="M23" i="19"/>
  <c r="R24" i="19"/>
  <c r="C21" i="19"/>
  <c r="F24" i="19"/>
  <c r="K23" i="19"/>
  <c r="C17" i="19"/>
  <c r="J24" i="19"/>
  <c r="H24" i="19"/>
  <c r="D24" i="19"/>
  <c r="C18" i="19"/>
  <c r="N24" i="19"/>
  <c r="E23" i="19"/>
  <c r="S20" i="18"/>
  <c r="S19" i="18"/>
  <c r="S18" i="18"/>
  <c r="S17" i="18"/>
  <c r="S21" i="18"/>
  <c r="B23" i="18"/>
  <c r="D24" i="18" s="1"/>
  <c r="C11" i="17"/>
  <c r="E9" i="17"/>
  <c r="E5" i="17"/>
  <c r="Q6" i="16"/>
  <c r="Q8" i="16"/>
  <c r="Q7" i="16"/>
  <c r="Q11" i="16"/>
  <c r="I23" i="16"/>
  <c r="S5" i="16"/>
  <c r="R11" i="1"/>
  <c r="S9" i="1" s="1"/>
  <c r="S6" i="16"/>
  <c r="S7" i="16"/>
  <c r="S8" i="16"/>
  <c r="O8" i="16"/>
  <c r="O9" i="16"/>
  <c r="N11" i="1"/>
  <c r="O9" i="1" s="1"/>
  <c r="K6" i="16"/>
  <c r="K8" i="16"/>
  <c r="K9" i="16"/>
  <c r="K7" i="16"/>
  <c r="G8" i="16"/>
  <c r="B11" i="16"/>
  <c r="F12" i="16" s="1"/>
  <c r="G9" i="16"/>
  <c r="E6" i="16"/>
  <c r="Q23" i="16"/>
  <c r="D24" i="16"/>
  <c r="N24" i="13"/>
  <c r="M23" i="13"/>
  <c r="I23" i="13"/>
  <c r="G23" i="13"/>
  <c r="D24" i="13"/>
  <c r="N23" i="1"/>
  <c r="O21" i="1" s="1"/>
  <c r="J11" i="1"/>
  <c r="K9" i="1" s="1"/>
  <c r="B8" i="1"/>
  <c r="B18" i="1"/>
  <c r="P23" i="1"/>
  <c r="Q21" i="1" s="1"/>
  <c r="R23" i="1"/>
  <c r="S20" i="1" s="1"/>
  <c r="D23" i="1"/>
  <c r="E20" i="1" s="1"/>
  <c r="B5" i="1"/>
  <c r="B6" i="1"/>
  <c r="P12" i="18"/>
  <c r="N12" i="18"/>
  <c r="D12" i="18"/>
  <c r="J23" i="1"/>
  <c r="K19" i="1" s="1"/>
  <c r="F23" i="1"/>
  <c r="G17" i="1" s="1"/>
  <c r="B19" i="1"/>
  <c r="O23" i="16"/>
  <c r="M23" i="16"/>
  <c r="K23" i="16"/>
  <c r="B17" i="1"/>
  <c r="P24" i="13"/>
  <c r="H24" i="13"/>
  <c r="B20" i="1"/>
  <c r="H23" i="1"/>
  <c r="I21" i="1" s="1"/>
  <c r="B23" i="22"/>
  <c r="R24" i="22" s="1"/>
  <c r="D11" i="1"/>
  <c r="E11" i="1" s="1"/>
  <c r="K6" i="22"/>
  <c r="O5" i="22"/>
  <c r="O7" i="22"/>
  <c r="S20" i="22"/>
  <c r="S21" i="22"/>
  <c r="S19" i="22"/>
  <c r="S18" i="22"/>
  <c r="S17" i="22"/>
  <c r="P11" i="1"/>
  <c r="O9" i="22"/>
  <c r="O6" i="22"/>
  <c r="O8" i="22"/>
  <c r="K8" i="22"/>
  <c r="G7" i="22"/>
  <c r="E11" i="22"/>
  <c r="E6" i="22"/>
  <c r="E9" i="22"/>
  <c r="E7" i="22"/>
  <c r="E5" i="22"/>
  <c r="E8" i="22"/>
  <c r="M6" i="16"/>
  <c r="M9" i="16"/>
  <c r="M5" i="16"/>
  <c r="S23" i="16"/>
  <c r="I8" i="16"/>
  <c r="I9" i="16"/>
  <c r="I7" i="16"/>
  <c r="B9" i="13"/>
  <c r="L11" i="13"/>
  <c r="B9" i="22"/>
  <c r="H11" i="22"/>
  <c r="L11" i="22"/>
  <c r="P11" i="22"/>
  <c r="Q9" i="22" s="1"/>
  <c r="K5" i="17"/>
  <c r="I6" i="17"/>
  <c r="G7" i="17"/>
  <c r="O7" i="17"/>
  <c r="E8" i="17"/>
  <c r="I9" i="17"/>
  <c r="L9" i="1"/>
  <c r="G5" i="17"/>
  <c r="E6" i="17"/>
  <c r="K7" i="17"/>
  <c r="K8" i="17"/>
  <c r="D12" i="15"/>
  <c r="E7" i="17"/>
  <c r="H12" i="8" l="1"/>
  <c r="C8" i="8"/>
  <c r="C5" i="8"/>
  <c r="R12" i="8"/>
  <c r="C9" i="8"/>
  <c r="C9" i="20"/>
  <c r="C7" i="8"/>
  <c r="P12" i="8"/>
  <c r="C23" i="7"/>
  <c r="M23" i="18"/>
  <c r="C9" i="7"/>
  <c r="C8" i="7"/>
  <c r="C7" i="7"/>
  <c r="F12" i="8"/>
  <c r="K23" i="18"/>
  <c r="C17" i="22"/>
  <c r="I5" i="1"/>
  <c r="H12" i="17"/>
  <c r="C5" i="17"/>
  <c r="L12" i="18"/>
  <c r="H12" i="18"/>
  <c r="C9" i="18"/>
  <c r="F12" i="18"/>
  <c r="R12" i="18"/>
  <c r="C5" i="18"/>
  <c r="C8" i="20"/>
  <c r="C7" i="20"/>
  <c r="F12" i="21"/>
  <c r="P12" i="21"/>
  <c r="C6" i="21"/>
  <c r="J12" i="21"/>
  <c r="R12" i="21"/>
  <c r="B12" i="21"/>
  <c r="H12" i="21"/>
  <c r="L12" i="7"/>
  <c r="F12" i="7"/>
  <c r="R12" i="7"/>
  <c r="H12" i="7"/>
  <c r="P12" i="7"/>
  <c r="C6" i="7"/>
  <c r="C5" i="7"/>
  <c r="N12" i="7"/>
  <c r="B12" i="7"/>
  <c r="J12" i="7"/>
  <c r="D12" i="8"/>
  <c r="N12" i="8"/>
  <c r="L12" i="8"/>
  <c r="J12" i="8"/>
  <c r="B12" i="8"/>
  <c r="C23" i="15"/>
  <c r="I11" i="1"/>
  <c r="I7" i="1"/>
  <c r="S8" i="1"/>
  <c r="S6" i="1"/>
  <c r="K5" i="1"/>
  <c r="G9" i="1"/>
  <c r="G11" i="1"/>
  <c r="C9" i="17"/>
  <c r="G8" i="1"/>
  <c r="K8" i="1"/>
  <c r="O7" i="1"/>
  <c r="P12" i="17"/>
  <c r="C23" i="20"/>
  <c r="C20" i="22"/>
  <c r="S17" i="1"/>
  <c r="C9" i="21"/>
  <c r="I23" i="18"/>
  <c r="C23" i="8"/>
  <c r="N12" i="17"/>
  <c r="K6" i="1"/>
  <c r="I6" i="1"/>
  <c r="I9" i="1"/>
  <c r="L12" i="21"/>
  <c r="C11" i="21"/>
  <c r="D12" i="21"/>
  <c r="N12" i="21"/>
  <c r="G6" i="1"/>
  <c r="K11" i="1"/>
  <c r="G5" i="1"/>
  <c r="C7" i="21"/>
  <c r="C5" i="21"/>
  <c r="C23" i="21"/>
  <c r="C23" i="19"/>
  <c r="S23" i="18"/>
  <c r="Q23" i="18"/>
  <c r="O23" i="18"/>
  <c r="E23" i="18"/>
  <c r="J24" i="18"/>
  <c r="N24" i="18"/>
  <c r="H24" i="18"/>
  <c r="F24" i="18"/>
  <c r="L24" i="18"/>
  <c r="R24" i="18"/>
  <c r="P24" i="18"/>
  <c r="C19" i="18"/>
  <c r="C21" i="18"/>
  <c r="C20" i="18"/>
  <c r="C17" i="18"/>
  <c r="C18" i="18"/>
  <c r="J12" i="17"/>
  <c r="R12" i="17"/>
  <c r="L12" i="17"/>
  <c r="F12" i="17"/>
  <c r="B12" i="17"/>
  <c r="C6" i="17"/>
  <c r="C7" i="17"/>
  <c r="D12" i="17"/>
  <c r="C8" i="17"/>
  <c r="G7" i="1"/>
  <c r="S7" i="1"/>
  <c r="S5" i="1"/>
  <c r="S11" i="1"/>
  <c r="O8" i="1"/>
  <c r="O11" i="1"/>
  <c r="O6" i="1"/>
  <c r="O5" i="1"/>
  <c r="R12" i="16"/>
  <c r="H12" i="16"/>
  <c r="D12" i="16"/>
  <c r="L12" i="16"/>
  <c r="C5" i="16"/>
  <c r="B12" i="16"/>
  <c r="C7" i="16"/>
  <c r="N12" i="16"/>
  <c r="C11" i="16"/>
  <c r="C6" i="16"/>
  <c r="J12" i="16"/>
  <c r="P12" i="16"/>
  <c r="C8" i="16"/>
  <c r="C9" i="16"/>
  <c r="O20" i="1"/>
  <c r="Q17" i="1"/>
  <c r="Q19" i="1"/>
  <c r="S21" i="1"/>
  <c r="O17" i="1"/>
  <c r="O23" i="1"/>
  <c r="O19" i="1"/>
  <c r="O18" i="1"/>
  <c r="G19" i="1"/>
  <c r="S23" i="1"/>
  <c r="S18" i="1"/>
  <c r="S19" i="1"/>
  <c r="E6" i="1"/>
  <c r="E8" i="1"/>
  <c r="E9" i="1"/>
  <c r="K7" i="1"/>
  <c r="Q20" i="1"/>
  <c r="E18" i="1"/>
  <c r="Q23" i="1"/>
  <c r="Q18" i="1"/>
  <c r="E21" i="1"/>
  <c r="E17" i="1"/>
  <c r="G23" i="1"/>
  <c r="E23" i="1"/>
  <c r="K18" i="1"/>
  <c r="E19" i="1"/>
  <c r="K20" i="1"/>
  <c r="G20" i="1"/>
  <c r="G21" i="1"/>
  <c r="G18" i="1"/>
  <c r="E7" i="1"/>
  <c r="E5" i="1"/>
  <c r="K21" i="1"/>
  <c r="K23" i="1"/>
  <c r="K17" i="1"/>
  <c r="I17" i="1"/>
  <c r="I19" i="1"/>
  <c r="I18" i="1"/>
  <c r="I23" i="1"/>
  <c r="I20" i="1"/>
  <c r="C21" i="22"/>
  <c r="F24" i="22"/>
  <c r="P24" i="22"/>
  <c r="C23" i="22"/>
  <c r="L24" i="22"/>
  <c r="N24" i="22"/>
  <c r="B24" i="22"/>
  <c r="C18" i="22"/>
  <c r="J24" i="22"/>
  <c r="H24" i="22"/>
  <c r="D24" i="22"/>
  <c r="C19" i="22"/>
  <c r="Q7" i="1"/>
  <c r="Q11" i="1"/>
  <c r="Q5" i="1"/>
  <c r="Q8" i="1"/>
  <c r="Q6" i="1"/>
  <c r="Q9" i="1"/>
  <c r="L11" i="1"/>
  <c r="B9" i="1"/>
  <c r="M5" i="13"/>
  <c r="M8" i="13"/>
  <c r="M7" i="13"/>
  <c r="M11" i="13"/>
  <c r="M6" i="13"/>
  <c r="B11" i="13"/>
  <c r="Q6" i="22"/>
  <c r="Q5" i="22"/>
  <c r="Q8" i="22"/>
  <c r="Q11" i="22"/>
  <c r="Q7" i="22"/>
  <c r="M9" i="13"/>
  <c r="M6" i="22"/>
  <c r="M8" i="22"/>
  <c r="M7" i="22"/>
  <c r="M5" i="22"/>
  <c r="M11" i="22"/>
  <c r="B21" i="1"/>
  <c r="L23" i="1"/>
  <c r="M21" i="1" s="1"/>
  <c r="M9" i="22"/>
  <c r="B11" i="22"/>
  <c r="L12" i="22" s="1"/>
  <c r="I5" i="22"/>
  <c r="I7" i="22"/>
  <c r="I8" i="22"/>
  <c r="I11" i="22"/>
  <c r="I6" i="22"/>
  <c r="I9" i="22"/>
  <c r="C19" i="16"/>
  <c r="H24" i="16"/>
  <c r="B24" i="16"/>
  <c r="R24" i="16"/>
  <c r="C18" i="16"/>
  <c r="L24" i="16"/>
  <c r="F24" i="16"/>
  <c r="C21" i="16"/>
  <c r="C23" i="16"/>
  <c r="C17" i="16"/>
  <c r="P24" i="16"/>
  <c r="J24" i="16"/>
  <c r="C20" i="16"/>
  <c r="N24" i="16"/>
  <c r="C23" i="18" l="1"/>
  <c r="H12" i="22"/>
  <c r="C9" i="22"/>
  <c r="C11" i="13"/>
  <c r="C8" i="13"/>
  <c r="C5" i="13"/>
  <c r="H12" i="13"/>
  <c r="C6" i="13"/>
  <c r="B12" i="13"/>
  <c r="R12" i="13"/>
  <c r="C7" i="13"/>
  <c r="F12" i="13"/>
  <c r="N12" i="13"/>
  <c r="J12" i="13"/>
  <c r="P12" i="13"/>
  <c r="D12" i="13"/>
  <c r="B11" i="1"/>
  <c r="C9" i="13"/>
  <c r="M7" i="1"/>
  <c r="M6" i="1"/>
  <c r="M5" i="1"/>
  <c r="M11" i="1"/>
  <c r="M8" i="1"/>
  <c r="N12" i="22"/>
  <c r="C8" i="22"/>
  <c r="R12" i="22"/>
  <c r="C11" i="22"/>
  <c r="C6" i="22"/>
  <c r="F12" i="22"/>
  <c r="C7" i="22"/>
  <c r="J12" i="22"/>
  <c r="B12" i="22"/>
  <c r="C5" i="22"/>
  <c r="D12" i="22"/>
  <c r="M18" i="1"/>
  <c r="M20" i="1"/>
  <c r="M23" i="1"/>
  <c r="M19" i="1"/>
  <c r="M17" i="1"/>
  <c r="B23" i="1"/>
  <c r="L24" i="1" s="1"/>
  <c r="M9" i="1"/>
  <c r="P12" i="22"/>
  <c r="L12" i="13"/>
  <c r="C21" i="1" l="1"/>
  <c r="C11" i="1"/>
  <c r="P12" i="1"/>
  <c r="D12" i="1"/>
  <c r="C7" i="1"/>
  <c r="C5" i="1"/>
  <c r="H12" i="1"/>
  <c r="B12" i="1"/>
  <c r="C6" i="1"/>
  <c r="R12" i="1"/>
  <c r="N12" i="1"/>
  <c r="J12" i="1"/>
  <c r="F12" i="1"/>
  <c r="C8" i="1"/>
  <c r="F24" i="1"/>
  <c r="R24" i="1"/>
  <c r="H24" i="1"/>
  <c r="C17" i="1"/>
  <c r="B24" i="1"/>
  <c r="N24" i="1"/>
  <c r="P24" i="1"/>
  <c r="C23" i="1"/>
  <c r="C19" i="1"/>
  <c r="C20" i="1"/>
  <c r="D24" i="1"/>
  <c r="J24" i="1"/>
  <c r="C18" i="1"/>
  <c r="L12" i="1"/>
  <c r="C9" i="1"/>
  <c r="B23" i="17"/>
  <c r="S19" i="17" s="1"/>
  <c r="M21" i="17" l="1"/>
  <c r="I21" i="17"/>
  <c r="Q19" i="17"/>
  <c r="Q20" i="17"/>
  <c r="E18" i="17"/>
  <c r="Q17" i="17"/>
  <c r="K21" i="17"/>
  <c r="M19" i="17"/>
  <c r="H24" i="17"/>
  <c r="G21" i="17"/>
  <c r="S21" i="17"/>
  <c r="M23" i="17"/>
  <c r="C21" i="17"/>
  <c r="Q18" i="17"/>
  <c r="G18" i="17"/>
  <c r="O19" i="17"/>
  <c r="R24" i="17"/>
  <c r="O20" i="17"/>
  <c r="G17" i="17"/>
  <c r="Q21" i="17"/>
  <c r="E19" i="17"/>
  <c r="Q23" i="17"/>
  <c r="G23" i="17"/>
  <c r="C18" i="17"/>
  <c r="P24" i="17"/>
  <c r="K18" i="17"/>
  <c r="M17" i="17"/>
  <c r="E17" i="17"/>
  <c r="G19" i="17"/>
  <c r="M20" i="17"/>
  <c r="K20" i="17"/>
  <c r="O21" i="17"/>
  <c r="S23" i="17"/>
  <c r="K17" i="17"/>
  <c r="B24" i="17"/>
  <c r="E23" i="17"/>
  <c r="L24" i="17"/>
  <c r="E21" i="17"/>
  <c r="C20" i="17"/>
  <c r="O17" i="17"/>
  <c r="F24" i="17"/>
  <c r="K23" i="17"/>
  <c r="N24" i="17"/>
  <c r="O18" i="17"/>
  <c r="G20" i="17"/>
  <c r="C19" i="17"/>
  <c r="C17" i="17"/>
  <c r="I17" i="17"/>
  <c r="I19" i="17"/>
  <c r="I20" i="17"/>
  <c r="S18" i="17"/>
  <c r="D24" i="17"/>
  <c r="I23" i="17"/>
  <c r="E20" i="17"/>
  <c r="S20" i="17"/>
  <c r="M18" i="17"/>
  <c r="K19" i="17"/>
  <c r="S17" i="17"/>
  <c r="I18" i="17"/>
  <c r="O23" i="17"/>
  <c r="C23" i="17"/>
  <c r="J24" i="17"/>
</calcChain>
</file>

<file path=xl/sharedStrings.xml><?xml version="1.0" encoding="utf-8"?>
<sst xmlns="http://schemas.openxmlformats.org/spreadsheetml/2006/main" count="908" uniqueCount="34">
  <si>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</si>
  <si>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</si>
  <si>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</si>
  <si>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</si>
  <si>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</si>
  <si>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</si>
  <si>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</si>
  <si>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</si>
  <si>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</si>
  <si>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Αριθμός</t>
  </si>
  <si>
    <t>%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</si>
  <si>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</si>
  <si>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</si>
  <si>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</si>
  <si>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</si>
  <si>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</si>
  <si>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</si>
  <si>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 xml:space="preserve">% στο σύνολο </t>
  </si>
  <si>
    <t xml:space="preserve">Αριθμός </t>
  </si>
  <si>
    <t>Αρ.</t>
  </si>
  <si>
    <t>53R /Table 8</t>
  </si>
  <si>
    <t>ΠΙΝΑΚΑΣ 11(2): ΑΝΕΡΓΙΑ ΚΑΤΑ ΗΛΙΚΙΑ ΚΑΙ ΜΟΡΦΩΤΙΚΟ ΕΠΙΠΕΔΟ ΚΑΤΑ ΤΟΝ ΦΕΒΡΟΥΑΡΙΟ ΤΟΥ 2014 ΚΑΙ 2015</t>
  </si>
  <si>
    <r>
      <t>ΠΙΝΑΚΑΣ 11:</t>
    </r>
    <r>
      <rPr>
        <b/>
        <sz val="10"/>
        <color rgb="FFFF0000"/>
        <rFont val="Arial"/>
        <family val="2"/>
        <charset val="161"/>
      </rPr>
      <t xml:space="preserve"> ΕΤΗΣΙΑ</t>
    </r>
    <r>
      <rPr>
        <b/>
        <sz val="10"/>
        <rFont val="Arial"/>
        <family val="2"/>
      </rPr>
      <t xml:space="preserve"> ΑΝΕΡΓΙΑ ΚΑΤΑ ΗΛΙΚΙΑ ΚΑΙ ΜΟΡΦΩΤΙΚΟ ΕΠΙΠΕΔΟ ΚΑΤΑ ΤΟ 2015 ΚΑΙ 2016</t>
    </r>
  </si>
  <si>
    <t>ΠΙΝΑΚΑΣ 11 (1): ΑΝΕΡΓΙΑ ΚΑΤΑ ΗΛΙΚΙΑ ΚΑΙ ΜΟΡΦΩΤΙΚΟ ΕΠΙΠΕΔΟ ΚΑΤΑ ΤΟΝ ΙΑΝΟΥΑΡΙΟ ΤΟΥ 2015 ΚΑΙ 2016</t>
  </si>
  <si>
    <r>
      <t xml:space="preserve">ΠΙΝΑΚΑΣ 11 (3): ΑΝΕΡΓΙΑ ΚΑΤΑ ΗΛΙΚΙΑ ΚΑΙ ΜΟΡΦΩΤΙΚΟ ΕΠΙΠΕΔΟ ΚΑΤΑ ΤΟ </t>
    </r>
    <r>
      <rPr>
        <b/>
        <sz val="10"/>
        <rFont val="Arial"/>
        <family val="2"/>
        <charset val="161"/>
      </rPr>
      <t>ΜΑΡΤΙΟ</t>
    </r>
    <r>
      <rPr>
        <b/>
        <sz val="10"/>
        <rFont val="Arial"/>
        <family val="2"/>
      </rPr>
      <t xml:space="preserve"> ΤΟΥ 2015 ΚΑΙ 2016</t>
    </r>
  </si>
  <si>
    <t>ΠΙΝΑΚΑΣ 11 (4): ΑΝΕΡΓΙΑ ΚΑΤΑ ΗΛΙΚΙΑ ΚΑΙ ΜΟΡΦΩΤΙΚΟ ΕΠΙΠΕΔΟ ΚΑΤΑ ΤΟΝ ΑΠΡΙΛΙΟ ΤΟΥ 2015 ΚΑΙ 2016</t>
  </si>
  <si>
    <t>ΠΙΝΑΚΑΣ 11 (5) : ΑΝΕΡΓΙΑ ΚΑΤΑ ΗΛΙΚΙΑ ΚΑΙ ΜΟΡΦΩΤΙΚΟ ΕΠΙΠΕΔΟ ΚΑΤΑ ΤΟΝ ΜΑΪΟ ΤΟΥ 2015 ΚΑΙ 2016</t>
  </si>
  <si>
    <t>ΠΙΝΑΚΑΣ 11 (6): ΑΝΕΡΓΙΑ ΚΑΤΑ ΗΛΙΚΙΑ ΚΑΙ ΜΟΡΦΩΤΙΚΟ ΕΠΙΠΕΔΟ ΚΑΤΑ ΤΟΝ ΙΟΥΝΙΟ ΤΟΥ 2015 ΚΑΙ 2016</t>
  </si>
  <si>
    <t>ΠΙΝΑΚΑΣ 11 (7): ΑΝΕΡΓΙΑ ΚΑΤΑ ΗΛΙΚΙΑ ΚΑΙ ΜΟΡΦΩΤΙΚΟ ΕΠΙΠΕΔΟ ΚΑΤΑ ΤΟΝ ΙΟΥΛΙΟ ΤΟΥ 2015 ΚΑΙ 2016</t>
  </si>
  <si>
    <t>ΠΙΝΑΚΑΣ 11 (8): ΑΝΕΡΓΙΑ ΚΑΤΑ ΗΛΙΚΙΑ ΚΑΙ ΜΟΡΦΩΤΙΚΟ ΕΠΙΠΕΔΟ ΚΑΤΑ ΤΟΝ ΑΥΓΟΥΣΤΟ ΤΟΥ 2015 ΚΑΙ 2016</t>
  </si>
  <si>
    <t>ΠΙΝΑΚΑΣ 11 (9): ΑΝΕΡΓΙΑ ΚΑΤΑ ΗΛΙΚΙΑ ΚΑΙ ΜΟΡΦΩΤΙΚΟ ΕΠΙΠΕΔΟ - ΣΕΠΤΕΜΒΡΙΟΣ ΤΟΥ 2015 ΚΑΙ 2016</t>
  </si>
  <si>
    <t>ΠΙΝΑΚΑΣ 11 (10): ΑΝΕΡΓΙΑ ΚΑΤΑ ΗΛΙΚΙΑ ΚΑΙ ΜΟΡΦΩΤΙΚΟ ΕΠΙΠΕΔΟ ΚΑΤΑ ΤΟΝ ΟΚΤΩΒΡΙΟ ΤΟΥ 2015 ΚΑΙ 2016</t>
  </si>
  <si>
    <t>ΠΙΝΑΚΑΣ 11 (11): ΑΝΕΡΓΙΑ ΚΑΤΑ ΗΛΙΚΙΑ ΚΑΙ ΜΟΡΦΩΤΙΚΟ ΕΠΙΠΕΔΟ ΚΑΤΑ ΤΟ ΝΟΕΜΒΡΙΟ ΤΟΥ 2015 ΚΑΙ 2016</t>
  </si>
  <si>
    <t>ΠΙΝΑΚΑΣ 11 (12): ΑΝΕΡΓΙΑ ΚΑΤΑ ΗΛΙΚΙΑ ΚΑΙ ΜΟΡΦΩΤΙΚΟ ΕΠΙΠΕΔΟ - ΔΕΚΕΜΒΡΙΟΣ ΤΟΥ 2015 ΚΑΙ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</si>
</sst>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3" fontId="0" fillId="0" borderId="0" xfId="0" applyNumberFormat="1" applyBorder="1"/>
    <xf numFmtId="0" fontId="0" fillId="0" borderId="0" xfId="0" applyBorder="1"/>
    <xf numFmtId="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9" fontId="0" fillId="0" borderId="6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9" fontId="0" fillId="0" borderId="0" xfId="10" applyFont="1"/>
    <xf numFmtId="9" fontId="0" fillId="0" borderId="0" xfId="10" applyFont="1" applyBorder="1"/>
    <xf numFmtId="1" fontId="2" fillId="0" borderId="0" xfId="0" applyNumberFormat="1" applyFont="1" applyBorder="1"/>
    <xf numFmtId="1" fontId="0" fillId="0" borderId="0" xfId="0" applyNumberFormat="1"/>
    <xf numFmtId="9" fontId="5" fillId="0" borderId="8" xfId="0" applyNumberFormat="1" applyFont="1" applyBorder="1"/>
    <xf numFmtId="9" fontId="5" fillId="0" borderId="10" xfId="0" applyNumberFormat="1" applyFont="1" applyBorder="1"/>
    <xf numFmtId="9" fontId="5" fillId="0" borderId="12" xfId="0" applyNumberFormat="1" applyFont="1" applyBorder="1"/>
    <xf numFmtId="0" fontId="4" fillId="0" borderId="0" xfId="3"/>
    <xf numFmtId="0" fontId="2" fillId="0" borderId="0" xfId="3" applyFont="1"/>
    <xf numFmtId="0" fontId="3" fillId="0" borderId="0" xfId="3" applyFont="1"/>
    <xf numFmtId="0" fontId="5" fillId="0" borderId="0" xfId="3" applyFont="1"/>
    <xf numFmtId="0" fontId="4" fillId="0" borderId="0" xfId="0" applyFont="1"/>
    <xf numFmtId="9" fontId="0" fillId="0" borderId="0" xfId="0" applyNumberFormat="1"/>
    <xf numFmtId="3" fontId="5" fillId="0" borderId="1" xfId="0" applyNumberFormat="1" applyFont="1" applyBorder="1"/>
    <xf numFmtId="3" fontId="5" fillId="0" borderId="7" xfId="0" applyNumberFormat="1" applyFont="1" applyBorder="1"/>
    <xf numFmtId="0" fontId="5" fillId="0" borderId="0" xfId="0" applyFont="1" applyBorder="1"/>
    <xf numFmtId="9" fontId="5" fillId="0" borderId="2" xfId="0" applyNumberFormat="1" applyFont="1" applyBorder="1"/>
    <xf numFmtId="9" fontId="5" fillId="0" borderId="13" xfId="0" applyNumberFormat="1" applyFont="1" applyBorder="1"/>
    <xf numFmtId="0" fontId="5" fillId="0" borderId="1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/>
    <xf numFmtId="9" fontId="5" fillId="0" borderId="3" xfId="0" applyNumberFormat="1" applyFont="1" applyFill="1" applyBorder="1"/>
    <xf numFmtId="9" fontId="5" fillId="0" borderId="13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3" fontId="5" fillId="0" borderId="8" xfId="0" applyNumberFormat="1" applyFont="1" applyFill="1" applyBorder="1"/>
    <xf numFmtId="3" fontId="5" fillId="0" borderId="14" xfId="0" applyNumberFormat="1" applyFont="1" applyBorder="1"/>
    <xf numFmtId="0" fontId="5" fillId="0" borderId="9" xfId="0" applyFont="1" applyBorder="1"/>
    <xf numFmtId="0" fontId="5" fillId="0" borderId="11" xfId="0" applyFont="1" applyBorder="1"/>
    <xf numFmtId="3" fontId="5" fillId="0" borderId="5" xfId="0" applyNumberFormat="1" applyFont="1" applyBorder="1"/>
    <xf numFmtId="9" fontId="5" fillId="0" borderId="6" xfId="0" applyNumberFormat="1" applyFont="1" applyBorder="1"/>
    <xf numFmtId="9" fontId="5" fillId="0" borderId="5" xfId="0" applyNumberFormat="1" applyFont="1" applyBorder="1"/>
    <xf numFmtId="3" fontId="5" fillId="0" borderId="0" xfId="0" applyNumberFormat="1" applyFont="1" applyBorder="1"/>
    <xf numFmtId="3" fontId="5" fillId="0" borderId="6" xfId="0" applyNumberFormat="1" applyFont="1" applyFill="1" applyBorder="1"/>
    <xf numFmtId="3" fontId="5" fillId="0" borderId="11" xfId="0" applyNumberFormat="1" applyFont="1" applyBorder="1"/>
    <xf numFmtId="3" fontId="5" fillId="0" borderId="0" xfId="0" applyNumberFormat="1" applyFont="1" applyFill="1" applyBorder="1"/>
    <xf numFmtId="0" fontId="5" fillId="0" borderId="2" xfId="0" applyFont="1" applyBorder="1"/>
    <xf numFmtId="9" fontId="5" fillId="0" borderId="3" xfId="0" applyNumberFormat="1" applyFont="1" applyBorder="1"/>
    <xf numFmtId="9" fontId="5" fillId="0" borderId="17" xfId="0" applyNumberFormat="1" applyFont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/>
    <xf numFmtId="9" fontId="5" fillId="0" borderId="8" xfId="0" applyNumberFormat="1" applyFont="1" applyFill="1" applyBorder="1"/>
    <xf numFmtId="0" fontId="5" fillId="0" borderId="9" xfId="0" applyFont="1" applyFill="1" applyBorder="1"/>
    <xf numFmtId="3" fontId="5" fillId="0" borderId="10" xfId="0" applyNumberFormat="1" applyFont="1" applyFill="1" applyBorder="1"/>
    <xf numFmtId="9" fontId="5" fillId="0" borderId="10" xfId="0" applyNumberFormat="1" applyFont="1" applyFill="1" applyBorder="1"/>
    <xf numFmtId="3" fontId="5" fillId="0" borderId="12" xfId="0" applyNumberFormat="1" applyFont="1" applyFill="1" applyBorder="1"/>
    <xf numFmtId="9" fontId="5" fillId="0" borderId="12" xfId="0" applyNumberFormat="1" applyFont="1" applyFill="1" applyBorder="1"/>
    <xf numFmtId="3" fontId="5" fillId="0" borderId="5" xfId="0" applyNumberFormat="1" applyFont="1" applyFill="1" applyBorder="1"/>
    <xf numFmtId="9" fontId="5" fillId="0" borderId="6" xfId="0" applyNumberFormat="1" applyFont="1" applyFill="1" applyBorder="1"/>
    <xf numFmtId="3" fontId="5" fillId="0" borderId="1" xfId="0" applyNumberFormat="1" applyFont="1" applyFill="1" applyBorder="1"/>
    <xf numFmtId="9" fontId="5" fillId="0" borderId="5" xfId="0" applyNumberFormat="1" applyFont="1" applyFill="1" applyBorder="1"/>
    <xf numFmtId="3" fontId="5" fillId="0" borderId="7" xfId="0" applyNumberFormat="1" applyFont="1" applyFill="1" applyBorder="1"/>
    <xf numFmtId="3" fontId="5" fillId="0" borderId="11" xfId="0" applyNumberFormat="1" applyFont="1" applyFill="1" applyBorder="1"/>
    <xf numFmtId="3" fontId="5" fillId="0" borderId="3" xfId="0" applyNumberFormat="1" applyFont="1" applyFill="1" applyBorder="1"/>
    <xf numFmtId="3" fontId="5" fillId="0" borderId="20" xfId="0" applyNumberFormat="1" applyFont="1" applyBorder="1"/>
    <xf numFmtId="3" fontId="5" fillId="0" borderId="12" xfId="0" applyNumberFormat="1" applyFont="1" applyBorder="1"/>
    <xf numFmtId="3" fontId="5" fillId="0" borderId="8" xfId="0" applyNumberFormat="1" applyFont="1" applyBorder="1"/>
    <xf numFmtId="9" fontId="5" fillId="0" borderId="21" xfId="0" applyNumberFormat="1" applyFont="1" applyBorder="1"/>
    <xf numFmtId="3" fontId="5" fillId="0" borderId="21" xfId="0" applyNumberFormat="1" applyFont="1" applyFill="1" applyBorder="1"/>
    <xf numFmtId="3" fontId="5" fillId="0" borderId="10" xfId="0" applyNumberFormat="1" applyFont="1" applyBorder="1"/>
    <xf numFmtId="3" fontId="5" fillId="0" borderId="9" xfId="0" applyNumberFormat="1" applyFont="1" applyBorder="1"/>
    <xf numFmtId="9" fontId="5" fillId="0" borderId="22" xfId="0" applyNumberFormat="1" applyFont="1" applyBorder="1"/>
    <xf numFmtId="9" fontId="5" fillId="0" borderId="21" xfId="0" applyNumberFormat="1" applyFont="1" applyFill="1" applyBorder="1"/>
    <xf numFmtId="9" fontId="5" fillId="0" borderId="22" xfId="0" applyNumberFormat="1" applyFont="1" applyFill="1" applyBorder="1"/>
    <xf numFmtId="9" fontId="5" fillId="0" borderId="1" xfId="0" applyNumberFormat="1" applyFont="1" applyBorder="1"/>
    <xf numFmtId="9" fontId="5" fillId="0" borderId="18" xfId="0" applyNumberFormat="1" applyFont="1" applyBorder="1"/>
    <xf numFmtId="9" fontId="5" fillId="0" borderId="7" xfId="0" applyNumberFormat="1" applyFont="1" applyBorder="1"/>
    <xf numFmtId="9" fontId="0" fillId="0" borderId="11" xfId="0" applyNumberFormat="1" applyFill="1" applyBorder="1"/>
    <xf numFmtId="0" fontId="1" fillId="0" borderId="0" xfId="0" applyFont="1"/>
    <xf numFmtId="0" fontId="1" fillId="0" borderId="0" xfId="3" applyFont="1"/>
    <xf numFmtId="0" fontId="1" fillId="0" borderId="0" xfId="0" applyFont="1" applyFill="1"/>
    <xf numFmtId="3" fontId="5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3" fillId="0" borderId="23" xfId="0" applyFont="1" applyBorder="1"/>
    <xf numFmtId="0" fontId="9" fillId="0" borderId="23" xfId="0" applyFont="1" applyBorder="1"/>
    <xf numFmtId="0" fontId="1" fillId="0" borderId="23" xfId="0" applyFont="1" applyBorder="1"/>
    <xf numFmtId="0" fontId="2" fillId="0" borderId="23" xfId="0" applyFont="1" applyBorder="1"/>
    <xf numFmtId="0" fontId="10" fillId="0" borderId="23" xfId="0" applyFont="1" applyBorder="1"/>
    <xf numFmtId="0" fontId="5" fillId="0" borderId="23" xfId="0" applyFont="1" applyBorder="1"/>
    <xf numFmtId="1" fontId="5" fillId="0" borderId="14" xfId="0" applyNumberFormat="1" applyFont="1" applyBorder="1"/>
    <xf numFmtId="1" fontId="5" fillId="0" borderId="9" xfId="0" applyNumberFormat="1" applyFont="1" applyBorder="1"/>
    <xf numFmtId="1" fontId="5" fillId="0" borderId="19" xfId="0" applyNumberFormat="1" applyFont="1" applyBorder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1">
    <cellStyle name="Normal" xfId="0" builtinId="0"/>
    <cellStyle name="Normal 10" xfId="1"/>
    <cellStyle name="Normal 11" xfId="2"/>
    <cellStyle name="Normal 2 2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workbookViewId="0">
      <selection activeCell="J18" sqref="J18"/>
    </sheetView>
  </sheetViews>
  <sheetFormatPr defaultRowHeight="12.75" x14ac:dyDescent="0.2"/>
  <cols>
    <col min="1" max="1" width="23.5703125" customWidth="1"/>
    <col min="3" max="3" width="7.28515625" bestFit="1" customWidth="1"/>
    <col min="4" max="4" width="7.5703125" customWidth="1"/>
    <col min="5" max="5" width="7.28515625" bestFit="1" customWidth="1"/>
    <col min="6" max="6" width="8.28515625" customWidth="1"/>
    <col min="7" max="7" width="7.28515625" bestFit="1" customWidth="1"/>
    <col min="8" max="8" width="8" customWidth="1"/>
    <col min="9" max="9" width="7.28515625" bestFit="1" customWidth="1"/>
    <col min="10" max="10" width="8.140625" customWidth="1"/>
    <col min="11" max="11" width="7.28515625" bestFit="1" customWidth="1"/>
    <col min="12" max="12" width="7.7109375" customWidth="1"/>
    <col min="13" max="13" width="7.28515625" bestFit="1" customWidth="1"/>
    <col min="15" max="15" width="7.28515625" bestFit="1" customWidth="1"/>
    <col min="16" max="16" width="8" customWidth="1"/>
    <col min="17" max="17" width="7.28515625" bestFit="1" customWidth="1"/>
    <col min="18" max="18" width="7.85546875" customWidth="1"/>
    <col min="19" max="19" width="7.28515625" bestFit="1" customWidth="1"/>
  </cols>
  <sheetData>
    <row r="1" spans="1:19" x14ac:dyDescent="0.2">
      <c r="A1" s="1" t="s">
        <v>22</v>
      </c>
    </row>
    <row r="2" spans="1:19" ht="13.5" thickBot="1" x14ac:dyDescent="0.25"/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146.08333333333334</v>
      </c>
      <c r="C5" s="15">
        <f>B5/$B$11</f>
        <v>3.3847710404164449E-3</v>
      </c>
      <c r="D5" s="41">
        <f>('2016 January'!D5+'2016 February'!D5+'2016 Mar'!D5+'2016 Apr'!D5+'2016 May'!D5+'2016 June'!D5+'2016 July'!D5+'2016 Aug'!D5+'2016 Sep'!D5+'2016 Oct'!D5+'2016 Nov'!D5+'2016 Dec'!D5)/12</f>
        <v>2.4166666666666665</v>
      </c>
      <c r="E5" s="15">
        <f>D5/$D$11</f>
        <v>1.125776397515528E-2</v>
      </c>
      <c r="F5" s="41">
        <f>('2016 January'!F5+'2016 February'!F5+'2016 Mar'!F5+'2016 Apr'!F5+'2016 May'!F5+'2016 June'!F5+'2016 July'!F5+'2016 Aug'!F5+'2016 Sep'!F5+'2016 Oct'!F5+'2016 Nov'!F5+'2016 Dec'!F5)/12</f>
        <v>7.916666666666667</v>
      </c>
      <c r="G5" s="15">
        <f>F5/$F$11</f>
        <v>2.0999580008399833E-3</v>
      </c>
      <c r="H5" s="41">
        <f>('2016 January'!H5+'2016 February'!H5+'2016 Mar'!H5+'2016 Apr'!H5+'2016 May'!H5+'2016 June'!H5+'2016 July'!H5+'2016 Aug'!H5+'2016 Sep'!H5+'2016 Oct'!H5+'2016 Nov'!H5+'2016 Dec'!H5)/12</f>
        <v>9.4166666666666661</v>
      </c>
      <c r="I5" s="15">
        <f>H5/$H$11</f>
        <v>1.4224930134192702E-3</v>
      </c>
      <c r="J5" s="41">
        <f>('2016 January'!J5+'2016 February'!J5+'2016 Mar'!J5+'2016 Apr'!J5+'2016 May'!J5+'2016 June'!J5+'2016 July'!J5+'2016 Aug'!J5+'2016 Sep'!J5+'2016 Oct'!J5+'2016 Nov'!J5+'2016 Dec'!J5)/12</f>
        <v>27.666666666666668</v>
      </c>
      <c r="K5" s="15">
        <f>J5/$J$11</f>
        <v>2.6362806209552546E-3</v>
      </c>
      <c r="L5" s="41">
        <f>('2016 January'!L5+'2016 February'!L5+'2016 Mar'!L5+'2016 Apr'!L5+'2016 May'!L5+'2016 June'!L5+'2016 July'!L5+'2016 Aug'!L5+'2016 Sep'!L5+'2016 Oct'!L5+'2016 Nov'!L5+'2016 Dec'!L5)/12</f>
        <v>31.083333333333332</v>
      </c>
      <c r="M5" s="15">
        <f>L5/$L$11</f>
        <v>3.8354755784061694E-3</v>
      </c>
      <c r="N5" s="41">
        <f>('2016 January'!N5+'2016 February'!N5+'2016 Mar'!N5+'2016 Apr'!N5+'2016 May'!N5+'2016 June'!N5+'2016 July'!N5+'2016 Aug'!N5+'2016 Sep'!N5+'2016 Oct'!N5+'2016 Nov'!N5+'2016 Dec'!N5)/12</f>
        <v>44.166666666666664</v>
      </c>
      <c r="O5" s="15">
        <f>N5/$N$11</f>
        <v>4.416703472528938E-3</v>
      </c>
      <c r="P5" s="41">
        <f>('2016 January'!P5+'2016 February'!P5+'2016 Mar'!P5+'2016 Apr'!P5+'2016 May'!P5+'2016 June'!P5+'2016 July'!P5+'2016 Aug'!P5+'2016 Sep'!P5+'2016 Oct'!P5+'2016 Nov'!P5+'2016 Dec'!P5)/12</f>
        <v>21.833333333333332</v>
      </c>
      <c r="Q5" s="15">
        <f>P5/$P$11</f>
        <v>5.7869859080266822E-3</v>
      </c>
      <c r="R5" s="41">
        <f>('2016 January'!R5+'2016 February'!R5+'2016 Mar'!R5+'2016 Apr'!R5+'2016 May'!R5+'2016 June'!R5+'2016 July'!R5+'2016 Aug'!R5+'2016 Sep'!R5+'2016 Oct'!R5+'2016 Nov'!R5+'2016 Dec'!R5)/12</f>
        <v>1.5833333333333333</v>
      </c>
      <c r="S5" s="15">
        <f>R5/$R$11</f>
        <v>8.6481565771506612E-3</v>
      </c>
    </row>
    <row r="6" spans="1:19" ht="13.5" thickBot="1" x14ac:dyDescent="0.25">
      <c r="A6" s="42" t="s">
        <v>12</v>
      </c>
      <c r="B6" s="40">
        <f>D6+F6+H6+J6+L6+N6+P6+R6</f>
        <v>9160.25</v>
      </c>
      <c r="C6" s="16">
        <f>B6/$B$11</f>
        <v>0.21224425959822979</v>
      </c>
      <c r="D6" s="41">
        <f>('2016 January'!D6+'2016 February'!D6+'2016 Mar'!D6+'2016 Apr'!D6+'2016 May'!D6+'2016 June'!D6+'2016 July'!D6+'2016 Aug'!D6+'2016 Sep'!D6+'2016 Oct'!D6+'2016 Nov'!D6+'2016 Dec'!D6)/12</f>
        <v>24.333333333333332</v>
      </c>
      <c r="E6" s="16">
        <f>D6/$D$11</f>
        <v>0.11335403726708075</v>
      </c>
      <c r="F6" s="41">
        <f>('2016 January'!F6+'2016 February'!F6+'2016 Mar'!F6+'2016 Apr'!F6+'2016 May'!F6+'2016 June'!F6+'2016 July'!F6+'2016 Aug'!F6+'2016 Sep'!F6+'2016 Oct'!F6+'2016 Nov'!F6+'2016 Dec'!F6)/12</f>
        <v>200.33333333333334</v>
      </c>
      <c r="G6" s="16">
        <f>F6/$F$11</f>
        <v>5.3139989831782308E-2</v>
      </c>
      <c r="H6" s="41">
        <f>('2016 January'!H6+'2016 February'!H6+'2016 Mar'!H6+'2016 Apr'!H6+'2016 May'!H6+'2016 June'!H6+'2016 July'!H6+'2016 Aug'!H6+'2016 Sep'!H6+'2016 Oct'!H6+'2016 Nov'!H6+'2016 Dec'!H6)/12</f>
        <v>508.66666666666669</v>
      </c>
      <c r="I6" s="16">
        <f>H6/$H$11</f>
        <v>7.6839799592134744E-2</v>
      </c>
      <c r="J6" s="41">
        <f>('2016 January'!J6+'2016 February'!J6+'2016 Mar'!J6+'2016 Apr'!J6+'2016 May'!J6+'2016 June'!J6+'2016 July'!J6+'2016 Aug'!J6+'2016 Sep'!J6+'2016 Oct'!J6+'2016 Nov'!J6+'2016 Dec'!J6)/12</f>
        <v>1585.25</v>
      </c>
      <c r="K6" s="16">
        <f>J6/$J$11</f>
        <v>0.15105411521816808</v>
      </c>
      <c r="L6" s="41">
        <f>('2016 January'!L6+'2016 February'!L6+'2016 Mar'!L6+'2016 Apr'!L6+'2016 May'!L6+'2016 June'!L6+'2016 July'!L6+'2016 Aug'!L6+'2016 Sep'!L6+'2016 Oct'!L6+'2016 Nov'!L6+'2016 Dec'!L6)/12</f>
        <v>1979.1666666666667</v>
      </c>
      <c r="M6" s="16">
        <f>L6/$L$11</f>
        <v>0.2442159383033419</v>
      </c>
      <c r="N6" s="41">
        <f>('2016 January'!N6+'2016 February'!N6+'2016 Mar'!N6+'2016 Apr'!N6+'2016 May'!N6+'2016 June'!N6+'2016 July'!N6+'2016 Aug'!N6+'2016 Sep'!N6+'2016 Oct'!N6+'2016 Nov'!N6+'2016 Dec'!N6)/12</f>
        <v>3127.5833333333335</v>
      </c>
      <c r="O6" s="16">
        <f>N6/$N$11</f>
        <v>0.31276093967449731</v>
      </c>
      <c r="P6" s="41">
        <f>('2016 January'!P6+'2016 February'!P6+'2016 Mar'!P6+'2016 Apr'!P6+'2016 May'!P6+'2016 June'!P6+'2016 July'!P6+'2016 Aug'!P6+'2016 Sep'!P6+'2016 Oct'!P6+'2016 Nov'!P6+'2016 Dec'!P6)/12</f>
        <v>1641.5</v>
      </c>
      <c r="Q6" s="16">
        <f>P6/$P$11</f>
        <v>0.43508415426072361</v>
      </c>
      <c r="R6" s="41">
        <f>('2016 January'!R6+'2016 February'!R6+'2016 Mar'!R6+'2016 Apr'!R6+'2016 May'!R6+'2016 June'!R6+'2016 July'!R6+'2016 Aug'!R6+'2016 Sep'!R6+'2016 Oct'!R6+'2016 Nov'!R6+'2016 Dec'!R6)/12</f>
        <v>93.416666666666671</v>
      </c>
      <c r="S6" s="16">
        <f>R6/$R$11</f>
        <v>0.51024123805188903</v>
      </c>
    </row>
    <row r="7" spans="1:19" ht="13.5" thickBot="1" x14ac:dyDescent="0.25">
      <c r="A7" s="43" t="s">
        <v>13</v>
      </c>
      <c r="B7" s="40">
        <f>D7+F7+H7+J7+L7+N7+P7+R7</f>
        <v>16816.083333333336</v>
      </c>
      <c r="C7" s="16">
        <f>B7/$B$11</f>
        <v>0.38963097693026566</v>
      </c>
      <c r="D7" s="41">
        <f>('2016 January'!D7+'2016 February'!D7+'2016 Mar'!D7+'2016 Apr'!D7+'2016 May'!D7+'2016 June'!D7+'2016 July'!D7+'2016 Aug'!D7+'2016 Sep'!D7+'2016 Oct'!D7+'2016 Nov'!D7+'2016 Dec'!D7)/12</f>
        <v>149.66666666666666</v>
      </c>
      <c r="E7" s="16">
        <f>D7/$D$11</f>
        <v>0.69720496894409933</v>
      </c>
      <c r="F7" s="41">
        <f>('2016 January'!F7+'2016 February'!F7+'2016 Mar'!F7+'2016 Apr'!F7+'2016 May'!F7+'2016 June'!F7+'2016 July'!F7+'2016 Aug'!F7+'2016 Sep'!F7+'2016 Oct'!F7+'2016 Nov'!F7+'2016 Dec'!F7)/12</f>
        <v>1315.6666666666667</v>
      </c>
      <c r="G7" s="16">
        <f>F7/$F$11</f>
        <v>0.34899091491854373</v>
      </c>
      <c r="H7" s="41">
        <f>('2016 January'!H7+'2016 February'!H7+'2016 Mar'!H7+'2016 Apr'!H7+'2016 May'!H7+'2016 June'!H7+'2016 July'!H7+'2016 Aug'!H7+'2016 Sep'!H7+'2016 Oct'!H7+'2016 Nov'!H7+'2016 Dec'!H7)/12</f>
        <v>1681</v>
      </c>
      <c r="I7" s="16">
        <f>H7/$H$11</f>
        <v>0.25393388554596036</v>
      </c>
      <c r="J7" s="41">
        <f>('2016 January'!J7+'2016 February'!J7+'2016 Mar'!J7+'2016 Apr'!J7+'2016 May'!J7+'2016 June'!J7+'2016 July'!J7+'2016 Aug'!J7+'2016 Sep'!J7+'2016 Oct'!J7+'2016 Nov'!J7+'2016 Dec'!J7)/12</f>
        <v>4027.9166666666665</v>
      </c>
      <c r="K7" s="16">
        <f>J7/$J$11</f>
        <v>0.38380910787310912</v>
      </c>
      <c r="L7" s="41">
        <f>('2016 January'!L7+'2016 February'!L7+'2016 Mar'!L7+'2016 Apr'!L7+'2016 May'!L7+'2016 June'!L7+'2016 July'!L7+'2016 Aug'!L7+'2016 Sep'!L7+'2016 Oct'!L7+'2016 Nov'!L7+'2016 Dec'!L7)/12</f>
        <v>3847.75</v>
      </c>
      <c r="M7" s="16">
        <f>L7/$L$11</f>
        <v>0.47478663239074548</v>
      </c>
      <c r="N7" s="41">
        <f>('2016 January'!N7+'2016 February'!N7+'2016 Mar'!N7+'2016 Apr'!N7+'2016 May'!N7+'2016 June'!N7+'2016 July'!N7+'2016 Aug'!N7+'2016 Sep'!N7+'2016 Oct'!N7+'2016 Nov'!N7+'2016 Dec'!N7)/12</f>
        <v>4398.166666666667</v>
      </c>
      <c r="O7" s="16">
        <f>N7/$N$11</f>
        <v>0.4398203318360987</v>
      </c>
      <c r="P7" s="41">
        <f>('2016 January'!P7+'2016 February'!P7+'2016 Mar'!P7+'2016 Apr'!P7+'2016 May'!P7+'2016 June'!P7+'2016 July'!P7+'2016 Aug'!P7+'2016 Sep'!P7+'2016 Oct'!P7+'2016 Nov'!P7+'2016 Dec'!P7)/12</f>
        <v>1334</v>
      </c>
      <c r="Q7" s="16">
        <f>P7/$P$11</f>
        <v>0.35358042143393564</v>
      </c>
      <c r="R7" s="41">
        <f>('2016 January'!R7+'2016 February'!R7+'2016 Mar'!R7+'2016 Apr'!R7+'2016 May'!R7+'2016 June'!R7+'2016 July'!R7+'2016 Aug'!R7+'2016 Sep'!R7+'2016 Oct'!R7+'2016 Nov'!R7+'2016 Dec'!R7)/12</f>
        <v>61.916666666666664</v>
      </c>
      <c r="S7" s="16">
        <f>R7/$R$11</f>
        <v>0.33818843878015475</v>
      </c>
    </row>
    <row r="8" spans="1:19" ht="13.5" thickBot="1" x14ac:dyDescent="0.25">
      <c r="A8" s="42" t="s">
        <v>14</v>
      </c>
      <c r="B8" s="40">
        <f>D8+F8+H8+J8+L8+N8+P8+R8</f>
        <v>4664.1666666666661</v>
      </c>
      <c r="C8" s="16">
        <f>B8/$B$11</f>
        <v>0.1080693868409061</v>
      </c>
      <c r="D8" s="41">
        <f>('2016 January'!D8+'2016 February'!D8+'2016 Mar'!D8+'2016 Apr'!D8+'2016 May'!D8+'2016 June'!D8+'2016 July'!D8+'2016 Aug'!D8+'2016 Sep'!D8+'2016 Oct'!D8+'2016 Nov'!D8+'2016 Dec'!D8)/12</f>
        <v>36.5</v>
      </c>
      <c r="E8" s="16">
        <f>D8/$D$11</f>
        <v>0.17003105590062112</v>
      </c>
      <c r="F8" s="41">
        <f>('2016 January'!F8+'2016 February'!F8+'2016 Mar'!F8+'2016 Apr'!F8+'2016 May'!F8+'2016 June'!F8+'2016 July'!F8+'2016 Aug'!F8+'2016 Sep'!F8+'2016 Oct'!F8+'2016 Nov'!F8+'2016 Dec'!F8)/12</f>
        <v>641.75</v>
      </c>
      <c r="G8" s="16">
        <f>F8/$F$11</f>
        <v>0.17022922699440746</v>
      </c>
      <c r="H8" s="41">
        <f>('2016 January'!H8+'2016 February'!H8+'2016 Mar'!H8+'2016 Apr'!H8+'2016 May'!H8+'2016 June'!H8+'2016 July'!H8+'2016 Aug'!H8+'2016 Sep'!H8+'2016 Oct'!H8+'2016 Nov'!H8+'2016 Dec'!H8)/12</f>
        <v>650.91666666666663</v>
      </c>
      <c r="I8" s="16">
        <f>H8/$H$11</f>
        <v>9.8328255998388667E-2</v>
      </c>
      <c r="J8" s="41">
        <f>('2016 January'!J8+'2016 February'!J8+'2016 Mar'!J8+'2016 Apr'!J8+'2016 May'!J8+'2016 June'!J8+'2016 July'!J8+'2016 Aug'!J8+'2016 Sep'!J8+'2016 Oct'!J8+'2016 Nov'!J8+'2016 Dec'!J8)/12</f>
        <v>1156.9166666666667</v>
      </c>
      <c r="K8" s="16">
        <f>J8/$J$11</f>
        <v>0.11023940921904157</v>
      </c>
      <c r="L8" s="41">
        <f>('2016 January'!L8+'2016 February'!L8+'2016 Mar'!L8+'2016 Apr'!L8+'2016 May'!L8+'2016 June'!L8+'2016 July'!L8+'2016 Aug'!L8+'2016 Sep'!L8+'2016 Oct'!L8+'2016 Nov'!L8+'2016 Dec'!L8)/12</f>
        <v>867.75</v>
      </c>
      <c r="M8" s="16">
        <f>L8/$L$11</f>
        <v>0.1070745501285347</v>
      </c>
      <c r="N8" s="41">
        <f>('2016 January'!N8+'2016 February'!N8+'2016 Mar'!N8+'2016 Apr'!N8+'2016 May'!N8+'2016 June'!N8+'2016 July'!N8+'2016 Aug'!N8+'2016 Sep'!N8+'2016 Oct'!N8+'2016 Nov'!N8+'2016 Dec'!N8)/12</f>
        <v>1020.5833333333334</v>
      </c>
      <c r="O8" s="16">
        <f>N8/$N$11</f>
        <v>0.1020591838265319</v>
      </c>
      <c r="P8" s="41">
        <f>('2016 January'!P8+'2016 February'!P8+'2016 Mar'!P8+'2016 Apr'!P8+'2016 May'!P8+'2016 June'!P8+'2016 July'!P8+'2016 Aug'!P8+'2016 Sep'!P8+'2016 Oct'!P8+'2016 Nov'!P8+'2016 Dec'!P8)/12</f>
        <v>285.58333333333331</v>
      </c>
      <c r="Q8" s="16">
        <f>P8/$P$11</f>
        <v>7.5694659186287941E-2</v>
      </c>
      <c r="R8" s="41">
        <f>('2016 January'!R8+'2016 February'!R8+'2016 Mar'!R8+'2016 Apr'!R8+'2016 May'!R8+'2016 June'!R8+'2016 July'!R8+'2016 Aug'!R8+'2016 Sep'!R8+'2016 Oct'!R8+'2016 Nov'!R8+'2016 Dec'!R8)/12</f>
        <v>4.166666666666667</v>
      </c>
      <c r="S8" s="16">
        <f>R8/$R$11</f>
        <v>2.2758306781975424E-2</v>
      </c>
    </row>
    <row r="9" spans="1:19" ht="13.5" thickBot="1" x14ac:dyDescent="0.25">
      <c r="A9" s="43" t="s">
        <v>15</v>
      </c>
      <c r="B9" s="40">
        <f>D9+F9+H9+J9+L9+N9+P9+R9</f>
        <v>12372.416666666666</v>
      </c>
      <c r="C9" s="17">
        <f>B9/$B$11</f>
        <v>0.28667060559018204</v>
      </c>
      <c r="D9" s="41">
        <f>('2016 January'!D9+'2016 February'!D9+'2016 Mar'!D9+'2016 Apr'!D9+'2016 May'!D9+'2016 June'!D9+'2016 July'!D9+'2016 Aug'!D9+'2016 Sep'!D9+'2016 Oct'!D9+'2016 Nov'!D9+'2016 Dec'!D9)/12</f>
        <v>1.75</v>
      </c>
      <c r="E9" s="17">
        <f>D9/$D$11</f>
        <v>8.152173913043478E-3</v>
      </c>
      <c r="F9" s="41">
        <f>('2016 January'!F9+'2016 February'!F9+'2016 Mar'!F9+'2016 Apr'!F9+'2016 May'!F9+'2016 June'!F9+'2016 July'!F9+'2016 Aug'!F9+'2016 Sep'!F9+'2016 Oct'!F9+'2016 Nov'!F9+'2016 Dec'!F9)/12</f>
        <v>1604.25</v>
      </c>
      <c r="G9" s="17">
        <f>F9/$F$11</f>
        <v>0.42553991025442645</v>
      </c>
      <c r="H9" s="41">
        <f>('2016 January'!H9+'2016 February'!H9+'2016 Mar'!H9+'2016 Apr'!H9+'2016 May'!H9+'2016 June'!H9+'2016 July'!H9+'2016 Aug'!H9+'2016 Sep'!H9+'2016 Oct'!H9+'2016 Nov'!H9+'2016 Dec'!H9)/12</f>
        <v>3769.8333333333335</v>
      </c>
      <c r="I9" s="17">
        <f>H9/$H$11</f>
        <v>0.56947556585009695</v>
      </c>
      <c r="J9" s="41">
        <f>('2016 January'!J9+'2016 February'!J9+'2016 Mar'!J9+'2016 Apr'!J9+'2016 May'!J9+'2016 June'!J9+'2016 July'!J9+'2016 Aug'!J9+'2016 Sep'!J9+'2016 Oct'!J9+'2016 Nov'!J9+'2016 Dec'!J9)/12</f>
        <v>3696.8333333333335</v>
      </c>
      <c r="K9" s="17">
        <f>J9/$J$11</f>
        <v>0.35226108706872594</v>
      </c>
      <c r="L9" s="41">
        <f>('2016 January'!L9+'2016 February'!L9+'2016 Mar'!L9+'2016 Apr'!L9+'2016 May'!L9+'2016 June'!L9+'2016 July'!L9+'2016 Aug'!L9+'2016 Sep'!L9+'2016 Oct'!L9+'2016 Nov'!L9+'2016 Dec'!L9)/12</f>
        <v>1378.4166666666667</v>
      </c>
      <c r="M9" s="17">
        <f>L9/$L$11</f>
        <v>0.17008740359897173</v>
      </c>
      <c r="N9" s="41">
        <f>('2016 January'!N9+'2016 February'!N9+'2016 Mar'!N9+'2016 Apr'!N9+'2016 May'!N9+'2016 June'!N9+'2016 July'!N9+'2016 Aug'!N9+'2016 Sep'!N9+'2016 Oct'!N9+'2016 Nov'!N9+'2016 Dec'!N9)/12</f>
        <v>1409.4166666666667</v>
      </c>
      <c r="O9" s="17">
        <f>N9/$N$11</f>
        <v>0.14094284119034328</v>
      </c>
      <c r="P9" s="41">
        <f>('2016 January'!P9+'2016 February'!P9+'2016 Mar'!P9+'2016 Apr'!P9+'2016 May'!P9+'2016 June'!P9+'2016 July'!P9+'2016 Aug'!P9+'2016 Sep'!P9+'2016 Oct'!P9+'2016 Nov'!P9+'2016 Dec'!P9)/12</f>
        <v>489.91666666666669</v>
      </c>
      <c r="Q9" s="17">
        <f>P9/$P$11</f>
        <v>0.1298537792110262</v>
      </c>
      <c r="R9" s="41">
        <f>('2016 January'!R9+'2016 February'!R9+'2016 Mar'!R9+'2016 Apr'!R9+'2016 May'!R9+'2016 June'!R9+'2016 July'!R9+'2016 Aug'!R9+'2016 Sep'!R9+'2016 Oct'!R9+'2016 Nov'!R9+'2016 Dec'!R9)/12</f>
        <v>22</v>
      </c>
      <c r="S9" s="17">
        <f>R9/$R$11</f>
        <v>0.12016385980883024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SUM(B5:B10)</f>
        <v>43159</v>
      </c>
      <c r="C11" s="45">
        <f>B11/$B$11</f>
        <v>1</v>
      </c>
      <c r="D11" s="49">
        <f>SUM(D5:D9)</f>
        <v>214.66666666666666</v>
      </c>
      <c r="E11" s="45">
        <f>D11/$D$11</f>
        <v>1</v>
      </c>
      <c r="F11" s="50">
        <f>SUM(F5:F9)</f>
        <v>3769.916666666667</v>
      </c>
      <c r="G11" s="45">
        <f>F11/$F$11</f>
        <v>1</v>
      </c>
      <c r="H11" s="50">
        <f>SUM(H5:H9)</f>
        <v>6619.8333333333339</v>
      </c>
      <c r="I11" s="45">
        <f>H11/$H$11</f>
        <v>1</v>
      </c>
      <c r="J11" s="47">
        <f>SUM(J5:J9)</f>
        <v>10494.583333333334</v>
      </c>
      <c r="K11" s="45">
        <f>J11/$J$11</f>
        <v>1</v>
      </c>
      <c r="L11" s="47">
        <f>SUM(L5:L9)</f>
        <v>8104.166666666667</v>
      </c>
      <c r="M11" s="45">
        <f>L11/$L$11</f>
        <v>1</v>
      </c>
      <c r="N11" s="47">
        <f>SUM(N5:N9)</f>
        <v>9999.9166666666661</v>
      </c>
      <c r="O11" s="45">
        <f>N11/$N$11</f>
        <v>1</v>
      </c>
      <c r="P11" s="47">
        <f>SUM(P5:P9)</f>
        <v>3772.833333333333</v>
      </c>
      <c r="Q11" s="45">
        <f>P11/$P$11</f>
        <v>1</v>
      </c>
      <c r="R11" s="47">
        <f>SUM(R5:R9)</f>
        <v>183.08333333333331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4.9738563605891389E-3</v>
      </c>
      <c r="E12" s="52"/>
      <c r="F12" s="28">
        <f>F11/$B$11</f>
        <v>8.7349490643125818E-2</v>
      </c>
      <c r="G12" s="52"/>
      <c r="H12" s="28">
        <f>H11/$B$11</f>
        <v>0.15338245402658388</v>
      </c>
      <c r="I12" s="52"/>
      <c r="J12" s="28">
        <f>J11/$B$11</f>
        <v>0.24316094750418996</v>
      </c>
      <c r="K12" s="52"/>
      <c r="L12" s="28">
        <f>L11/$B$11</f>
        <v>0.18777466268140289</v>
      </c>
      <c r="M12" s="52"/>
      <c r="N12" s="28">
        <f>N11/$B$11</f>
        <v>0.23169945241239756</v>
      </c>
      <c r="O12" s="52"/>
      <c r="P12" s="28">
        <f>P11/$B$11</f>
        <v>8.7417070213242493E-2</v>
      </c>
      <c r="Q12" s="52"/>
      <c r="R12" s="28">
        <f>R11/$B$11</f>
        <v>4.2420661584682993E-3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3.5" thickBot="1" x14ac:dyDescent="0.25">
      <c r="A17" s="59" t="s">
        <v>11</v>
      </c>
      <c r="B17" s="40">
        <f>D17+F17+H17+J17+L17+N17+P17+R17</f>
        <v>130.58333333333334</v>
      </c>
      <c r="C17" s="60">
        <f>B17/$B$23</f>
        <v>3.383901095934783E-3</v>
      </c>
      <c r="D17" s="41">
        <f>('2016 January'!D17+'2016 February'!D17+'2016 Mar'!D17+'2016 Apr'!D17+'2016 May'!D17+'2016 June'!D17+'2016 July'!D17+'2016 Aug'!D17+'2016 Sep'!D17+'2016 Oct'!D17+'2016 Nov'!D17+'2016 Dec'!D17)/12</f>
        <v>0.66666666666666663</v>
      </c>
      <c r="E17" s="60">
        <f>D17/$D$23</f>
        <v>3.8910505836575876E-3</v>
      </c>
      <c r="F17" s="41">
        <f>('2016 January'!F17+'2016 February'!F17+'2016 Mar'!F17+'2016 Apr'!F17+'2016 May'!F17+'2016 June'!F17+'2016 July'!F17+'2016 Aug'!F17+'2016 Sep'!F17+'2016 Oct'!F17+'2016 Nov'!F17+'2016 Dec'!F17)/12</f>
        <v>7.75</v>
      </c>
      <c r="G17" s="60">
        <f>F17/$F$23</f>
        <v>2.6468579234972677E-3</v>
      </c>
      <c r="H17" s="41">
        <f>('2016 January'!H17+'2016 February'!H17+'2016 Mar'!H17+'2016 Apr'!H17+'2016 May'!H17+'2016 June'!H17+'2016 July'!H17+'2016 Aug'!H17+'2016 Sep'!H17+'2016 Oct'!H17+'2016 Nov'!H17+'2016 Dec'!H17)/12</f>
        <v>12.083333333333334</v>
      </c>
      <c r="I17" s="60">
        <f>H17/$H$23</f>
        <v>2.1569998363655299E-3</v>
      </c>
      <c r="J17" s="41">
        <f>('2016 January'!J17+'2016 February'!J17+'2016 Mar'!J17+'2016 Apr'!J17+'2016 May'!J17+'2016 June'!J17+'2016 July'!J17+'2016 Aug'!J17+'2016 Sep'!J17+'2016 Oct'!J17+'2016 Nov'!J17+'2016 Dec'!J17)/12</f>
        <v>30.916666666666668</v>
      </c>
      <c r="K17" s="60">
        <f>J17/$J$23</f>
        <v>3.0633308562463876E-3</v>
      </c>
      <c r="L17" s="41">
        <f>('2016 January'!L17+'2016 February'!L17+'2016 Mar'!L17+'2016 Apr'!L17+'2016 May'!L17+'2016 June'!L17+'2016 July'!L17+'2016 Aug'!L17+'2016 Sep'!L17+'2016 Oct'!L17+'2016 Nov'!L17+'2016 Dec'!L17)/12</f>
        <v>34.166666666666664</v>
      </c>
      <c r="M17" s="60">
        <f>L17/$L$23</f>
        <v>4.6209158429790249E-3</v>
      </c>
      <c r="N17" s="41">
        <f>('2016 January'!N17+'2016 February'!N17+'2016 Mar'!N17+'2016 Apr'!N17+'2016 May'!N17+'2016 June'!N17+'2016 July'!N17+'2016 Aug'!N17+'2016 Sep'!N17+'2016 Oct'!N17+'2016 Nov'!N17+'2016 Dec'!N17)/12</f>
        <v>27.75</v>
      </c>
      <c r="O17" s="60">
        <f>N17/$N$23</f>
        <v>3.1922236282066032E-3</v>
      </c>
      <c r="P17" s="41">
        <f>('2016 January'!P17+'2016 February'!P17+'2016 Mar'!P17+'2016 Apr'!P17+'2016 May'!P17+'2016 June'!P17+'2016 July'!P17+'2016 Aug'!P17+'2016 Sep'!P17+'2016 Oct'!P17+'2016 Nov'!P17+'2016 Dec'!P17)/12</f>
        <v>15.833333333333334</v>
      </c>
      <c r="Q17" s="60">
        <f>P17/$P$23</f>
        <v>4.5040773753081739E-3</v>
      </c>
      <c r="R17" s="41">
        <f>('2016 January'!R17+'2016 February'!R17+'2016 Mar'!R17+'2016 Apr'!R17+'2016 May'!R17+'2016 June'!R17+'2016 July'!R17+'2016 Aug'!R17+'2016 Sep'!R17+'2016 Oct'!R17+'2016 Nov'!R17+'2016 Dec'!R17)/12</f>
        <v>1.4166666666666667</v>
      </c>
      <c r="S17" s="60">
        <f>R17/$R$23</f>
        <v>7.3181231166594921E-3</v>
      </c>
    </row>
    <row r="18" spans="1:19" ht="13.5" thickBot="1" x14ac:dyDescent="0.25">
      <c r="A18" s="61" t="s">
        <v>12</v>
      </c>
      <c r="B18" s="62">
        <f>D18+F18+H18+J18+L18+N18+P18+R18</f>
        <v>8403.5833333333339</v>
      </c>
      <c r="C18" s="63">
        <f>B18/$B$23</f>
        <v>0.21776818010041565</v>
      </c>
      <c r="D18" s="41">
        <f>('2016 January'!D18+'2016 February'!D18+'2016 Mar'!D18+'2016 Apr'!D18+'2016 May'!D18+'2016 June'!D18+'2016 July'!D18+'2016 Aug'!D18+'2016 Sep'!D18+'2016 Oct'!D18+'2016 Nov'!D18+'2016 Dec'!D18)/12</f>
        <v>33.583333333333336</v>
      </c>
      <c r="E18" s="63">
        <f>D18/$D$23</f>
        <v>0.196011673151751</v>
      </c>
      <c r="F18" s="41">
        <f>('2016 January'!F18+'2016 February'!F18+'2016 Mar'!F18+'2016 Apr'!F18+'2016 May'!F18+'2016 June'!F18+'2016 July'!F18+'2016 Aug'!F18+'2016 Sep'!F18+'2016 Oct'!F18+'2016 Nov'!F18+'2016 Dec'!F18)/12</f>
        <v>258.08333333333331</v>
      </c>
      <c r="G18" s="63">
        <f t="shared" ref="G18:G23" si="0">F18/$F$23</f>
        <v>8.8143214936247716E-2</v>
      </c>
      <c r="H18" s="41">
        <f>('2016 January'!H18+'2016 February'!H18+'2016 Mar'!H18+'2016 Apr'!H18+'2016 May'!H18+'2016 June'!H18+'2016 July'!H18+'2016 Aug'!H18+'2016 Sep'!H18+'2016 Oct'!H18+'2016 Nov'!H18+'2016 Dec'!H18)/12</f>
        <v>520.66666666666663</v>
      </c>
      <c r="I18" s="63">
        <f t="shared" ref="I18:I23" si="1">H18/$H$23</f>
        <v>9.2944379155943654E-2</v>
      </c>
      <c r="J18" s="41">
        <f>('2016 January'!J18+'2016 February'!J18+'2016 Mar'!J18+'2016 Apr'!J18+'2016 May'!J18+'2016 June'!J18+'2016 July'!J18+'2016 Aug'!J18+'2016 Sep'!J18+'2016 Oct'!J18+'2016 Nov'!J18+'2016 Dec'!J18)/12</f>
        <v>1655.9166666666667</v>
      </c>
      <c r="K18" s="63">
        <f t="shared" ref="K18:K23" si="2">J18/$J$23</f>
        <v>0.16407398233011314</v>
      </c>
      <c r="L18" s="41">
        <f>('2016 January'!L18+'2016 February'!L18+'2016 Mar'!L18+'2016 Apr'!L18+'2016 May'!L18+'2016 June'!L18+'2016 July'!L18+'2016 Aug'!L18+'2016 Sep'!L18+'2016 Oct'!L18+'2016 Nov'!L18+'2016 Dec'!L18)/12</f>
        <v>1773.4166666666667</v>
      </c>
      <c r="M18" s="63">
        <f t="shared" ref="M18:M23" si="3">L18/$L$23</f>
        <v>0.23984807330350399</v>
      </c>
      <c r="N18" s="41">
        <f>('2016 January'!N18+'2016 February'!N18+'2016 Mar'!N18+'2016 Apr'!N18+'2016 May'!N18+'2016 June'!N18+'2016 July'!N18+'2016 Aug'!N18+'2016 Sep'!N18+'2016 Oct'!N18+'2016 Nov'!N18+'2016 Dec'!N18)/12</f>
        <v>2589.6666666666665</v>
      </c>
      <c r="O18" s="63">
        <f t="shared" ref="O18:O23" si="4">N18/$N$23</f>
        <v>0.29790252693738256</v>
      </c>
      <c r="P18" s="41">
        <f>('2016 January'!P18+'2016 February'!P18+'2016 Mar'!P18+'2016 Apr'!P18+'2016 May'!P18+'2016 June'!P18+'2016 July'!P18+'2016 Aug'!P18+'2016 Sep'!P18+'2016 Oct'!P18+'2016 Nov'!P18+'2016 Dec'!P18)/12</f>
        <v>1477.8333333333333</v>
      </c>
      <c r="Q18" s="63">
        <f t="shared" ref="Q18:Q23" si="5">P18/$P$23</f>
        <v>0.42039635880902709</v>
      </c>
      <c r="R18" s="41">
        <f>('2016 January'!R18+'2016 February'!R18+'2016 Mar'!R18+'2016 Apr'!R18+'2016 May'!R18+'2016 June'!R18+'2016 July'!R18+'2016 Aug'!R18+'2016 Sep'!R18+'2016 Oct'!R18+'2016 Nov'!R18+'2016 Dec'!R18)/12</f>
        <v>94.416666666666671</v>
      </c>
      <c r="S18" s="63">
        <f t="shared" ref="S18:S23" si="6">R18/$R$23</f>
        <v>0.48773138183383558</v>
      </c>
    </row>
    <row r="19" spans="1:19" ht="13.5" thickBot="1" x14ac:dyDescent="0.25">
      <c r="A19" s="29" t="s">
        <v>13</v>
      </c>
      <c r="B19" s="62">
        <f>D19+F19+H19+J19+L19+N19+P19+R19</f>
        <v>15016.166666666668</v>
      </c>
      <c r="C19" s="63">
        <f>B19/$B$23</f>
        <v>0.38912487178102895</v>
      </c>
      <c r="D19" s="41">
        <f>('2016 January'!D19+'2016 February'!D19+'2016 Mar'!D19+'2016 Apr'!D19+'2016 May'!D19+'2016 June'!D19+'2016 July'!D19+'2016 Aug'!D19+'2016 Sep'!D19+'2016 Oct'!D19+'2016 Nov'!D19+'2016 Dec'!D19)/12</f>
        <v>107.83333333333333</v>
      </c>
      <c r="E19" s="63">
        <f>D19/$D$23</f>
        <v>0.62937743190661488</v>
      </c>
      <c r="F19" s="41">
        <f>('2016 January'!F19+'2016 February'!F19+'2016 Mar'!F19+'2016 Apr'!F19+'2016 May'!F19+'2016 June'!F19+'2016 July'!F19+'2016 Aug'!F19+'2016 Sep'!F19+'2016 Oct'!F19+'2016 Nov'!F19+'2016 Dec'!F19)/12</f>
        <v>1012.75</v>
      </c>
      <c r="G19" s="63">
        <f t="shared" si="0"/>
        <v>0.34588456284153007</v>
      </c>
      <c r="H19" s="41">
        <f>('2016 January'!H19+'2016 February'!H19+'2016 Mar'!H19+'2016 Apr'!H19+'2016 May'!H19+'2016 June'!H19+'2016 July'!H19+'2016 Aug'!H19+'2016 Sep'!H19+'2016 Oct'!H19+'2016 Nov'!H19+'2016 Dec'!H19)/12</f>
        <v>1428.9166666666667</v>
      </c>
      <c r="I19" s="63">
        <f t="shared" si="1"/>
        <v>0.25507638754592926</v>
      </c>
      <c r="J19" s="41">
        <f>('2016 January'!J19+'2016 February'!J19+'2016 Mar'!J19+'2016 Apr'!J19+'2016 May'!J19+'2016 June'!J19+'2016 July'!J19+'2016 Aug'!J19+'2016 Sep'!J19+'2016 Oct'!J19+'2016 Nov'!J19+'2016 Dec'!J19)/12</f>
        <v>3713.5</v>
      </c>
      <c r="K19" s="63">
        <f t="shared" si="2"/>
        <v>0.36794649492197173</v>
      </c>
      <c r="L19" s="41">
        <f>('2016 January'!L19+'2016 February'!L19+'2016 Mar'!L19+'2016 Apr'!L19+'2016 May'!L19+'2016 June'!L19+'2016 July'!L19+'2016 Aug'!L19+'2016 Sep'!L19+'2016 Oct'!L19+'2016 Nov'!L19+'2016 Dec'!L19)/12</f>
        <v>3457</v>
      </c>
      <c r="M19" s="63">
        <f t="shared" si="3"/>
        <v>0.46754651909790707</v>
      </c>
      <c r="N19" s="41">
        <f>('2016 January'!N19+'2016 February'!N19+'2016 Mar'!N19+'2016 Apr'!N19+'2016 May'!N19+'2016 June'!N19+'2016 July'!N19+'2016 Aug'!N19+'2016 Sep'!N19+'2016 Oct'!N19+'2016 Nov'!N19+'2016 Dec'!N19)/12</f>
        <v>3939.0833333333335</v>
      </c>
      <c r="O19" s="63">
        <f t="shared" si="4"/>
        <v>0.45313278883392771</v>
      </c>
      <c r="P19" s="41">
        <f>('2016 January'!P19+'2016 February'!P19+'2016 Mar'!P19+'2016 Apr'!P19+'2016 May'!P19+'2016 June'!P19+'2016 July'!P19+'2016 Aug'!P19+'2016 Sep'!P19+'2016 Oct'!P19+'2016 Nov'!P19+'2016 Dec'!P19)/12</f>
        <v>1292.5833333333333</v>
      </c>
      <c r="Q19" s="63">
        <f t="shared" si="5"/>
        <v>0.36769865351792147</v>
      </c>
      <c r="R19" s="41">
        <f>('2016 January'!R19+'2016 February'!R19+'2016 Mar'!R19+'2016 Apr'!R19+'2016 May'!R19+'2016 June'!R19+'2016 July'!R19+'2016 Aug'!R19+'2016 Sep'!R19+'2016 Oct'!R19+'2016 Nov'!R19+'2016 Dec'!R19)/12</f>
        <v>64.5</v>
      </c>
      <c r="S19" s="63">
        <f t="shared" si="6"/>
        <v>0.33318984072320273</v>
      </c>
    </row>
    <row r="20" spans="1:19" ht="13.5" thickBot="1" x14ac:dyDescent="0.25">
      <c r="A20" s="61" t="s">
        <v>14</v>
      </c>
      <c r="B20" s="62">
        <f>D20+F20+H20+J20+L20+N20+P20+R20</f>
        <v>3926.666666666667</v>
      </c>
      <c r="C20" s="63">
        <f>B20/$B$23</f>
        <v>0.10175457539275494</v>
      </c>
      <c r="D20" s="41">
        <f>('2016 January'!D20+'2016 February'!D20+'2016 Mar'!D20+'2016 Apr'!D20+'2016 May'!D20+'2016 June'!D20+'2016 July'!D20+'2016 Aug'!D20+'2016 Sep'!D20+'2016 Oct'!D20+'2016 Nov'!D20+'2016 Dec'!D20)/12</f>
        <v>28.583333333333332</v>
      </c>
      <c r="E20" s="63">
        <f>D20/$D$23</f>
        <v>0.16682879377431908</v>
      </c>
      <c r="F20" s="41">
        <f>('2016 January'!F20+'2016 February'!F20+'2016 Mar'!F20+'2016 Apr'!F20+'2016 May'!F20+'2016 June'!F20+'2016 July'!F20+'2016 Aug'!F20+'2016 Sep'!F20+'2016 Oct'!F20+'2016 Nov'!F20+'2016 Dec'!F20)/12</f>
        <v>465.5</v>
      </c>
      <c r="G20" s="63">
        <f t="shared" si="0"/>
        <v>0.15898224043715847</v>
      </c>
      <c r="H20" s="41">
        <f>('2016 January'!H20+'2016 February'!H20+'2016 Mar'!H20+'2016 Apr'!H20+'2016 May'!H20+'2016 June'!H20+'2016 July'!H20+'2016 Aug'!H20+'2016 Sep'!H20+'2016 Oct'!H20+'2016 Nov'!H20+'2016 Dec'!H20)/12</f>
        <v>525.33333333333337</v>
      </c>
      <c r="I20" s="63">
        <f t="shared" si="1"/>
        <v>9.3777427368608973E-2</v>
      </c>
      <c r="J20" s="41">
        <f>('2016 January'!J20+'2016 February'!J20+'2016 Mar'!J20+'2016 Apr'!J20+'2016 May'!J20+'2016 June'!J20+'2016 July'!J20+'2016 Aug'!J20+'2016 Sep'!J20+'2016 Oct'!J20+'2016 Nov'!J20+'2016 Dec'!J20)/12</f>
        <v>1002.3333333333334</v>
      </c>
      <c r="K20" s="63">
        <f t="shared" si="2"/>
        <v>9.9314672611675342E-2</v>
      </c>
      <c r="L20" s="41">
        <f>('2016 January'!L20+'2016 February'!L20+'2016 Mar'!L20+'2016 Apr'!L20+'2016 May'!L20+'2016 June'!L20+'2016 July'!L20+'2016 Aug'!L20+'2016 Sep'!L20+'2016 Oct'!L20+'2016 Nov'!L20+'2016 Dec'!L20)/12</f>
        <v>750</v>
      </c>
      <c r="M20" s="63">
        <f t="shared" si="3"/>
        <v>0.10143473801661275</v>
      </c>
      <c r="N20" s="41">
        <f>('2016 January'!N20+'2016 February'!N20+'2016 Mar'!N20+'2016 Apr'!N20+'2016 May'!N20+'2016 June'!N20+'2016 July'!N20+'2016 Aug'!N20+'2016 Sep'!N20+'2016 Oct'!N20+'2016 Nov'!N20+'2016 Dec'!N20)/12</f>
        <v>872.25</v>
      </c>
      <c r="O20" s="63">
        <f t="shared" si="4"/>
        <v>0.10033935350281836</v>
      </c>
      <c r="P20" s="41">
        <f>('2016 January'!P20+'2016 February'!P20+'2016 Mar'!P20+'2016 Apr'!P20+'2016 May'!P20+'2016 June'!P20+'2016 July'!P20+'2016 Aug'!P20+'2016 Sep'!P20+'2016 Oct'!P20+'2016 Nov'!P20+'2016 Dec'!P20)/12</f>
        <v>271.83333333333331</v>
      </c>
      <c r="Q20" s="63">
        <f t="shared" si="5"/>
        <v>7.7327896832922433E-2</v>
      </c>
      <c r="R20" s="41">
        <f>('2016 January'!R20+'2016 February'!R20+'2016 Mar'!R20+'2016 Apr'!R20+'2016 May'!R20+'2016 June'!R20+'2016 July'!R20+'2016 Aug'!R20+'2016 Sep'!R20+'2016 Oct'!R20+'2016 Nov'!R20+'2016 Dec'!R20)/12</f>
        <v>10.833333333333334</v>
      </c>
      <c r="S20" s="63">
        <f t="shared" si="6"/>
        <v>5.5962117950925525E-2</v>
      </c>
    </row>
    <row r="21" spans="1:19" ht="13.5" thickBot="1" x14ac:dyDescent="0.25">
      <c r="A21" s="29" t="s">
        <v>15</v>
      </c>
      <c r="B21" s="64">
        <f>D21+F21+H21+J21+L21+N21+P21+R21</f>
        <v>11112.583333333334</v>
      </c>
      <c r="C21" s="65">
        <f>B21/$B$23</f>
        <v>0.2879684716298655</v>
      </c>
      <c r="D21" s="41">
        <f>('2016 January'!D21+'2016 February'!D21+'2016 Mar'!D21+'2016 Apr'!D21+'2016 May'!D21+'2016 June'!D21+'2016 July'!D21+'2016 Aug'!D21+'2016 Sep'!D21+'2016 Oct'!D21+'2016 Nov'!D21+'2016 Dec'!D21)/12</f>
        <v>0.66666666666666663</v>
      </c>
      <c r="E21" s="65">
        <f>D21/$D$23</f>
        <v>3.8910505836575876E-3</v>
      </c>
      <c r="F21" s="41">
        <f>('2016 January'!F21+'2016 February'!F21+'2016 Mar'!F21+'2016 Apr'!F21+'2016 May'!F21+'2016 June'!F21+'2016 July'!F21+'2016 Aug'!F21+'2016 Sep'!F21+'2016 Oct'!F21+'2016 Nov'!F21+'2016 Dec'!F21)/12</f>
        <v>1183.9166666666667</v>
      </c>
      <c r="G21" s="65">
        <f>F21/$F$23</f>
        <v>0.40434312386156651</v>
      </c>
      <c r="H21" s="41">
        <f>('2016 January'!H21+'2016 February'!H21+'2016 Mar'!H21+'2016 Apr'!H21+'2016 May'!H21+'2016 June'!H21+'2016 July'!H21+'2016 Aug'!H21+'2016 Sep'!H21+'2016 Oct'!H21+'2016 Nov'!H21+'2016 Dec'!H21)/12</f>
        <v>3114.9166666666665</v>
      </c>
      <c r="I21" s="65">
        <f t="shared" si="1"/>
        <v>0.55604480609315265</v>
      </c>
      <c r="J21" s="41">
        <f>('2016 January'!J21+'2016 February'!J21+'2016 Mar'!J21+'2016 Apr'!J21+'2016 May'!J21+'2016 June'!J21+'2016 July'!J21+'2016 Aug'!J21+'2016 Sep'!J21+'2016 Oct'!J21+'2016 Nov'!J21+'2016 Dec'!J21)/12</f>
        <v>3689.8333333333335</v>
      </c>
      <c r="K21" s="65">
        <f t="shared" si="2"/>
        <v>0.3656015192799934</v>
      </c>
      <c r="L21" s="41">
        <f>('2016 January'!L21+'2016 February'!L21+'2016 Mar'!L21+'2016 Apr'!L21+'2016 May'!L21+'2016 June'!L21+'2016 July'!L21+'2016 Aug'!L21+'2016 Sep'!L21+'2016 Oct'!L21+'2016 Nov'!L21+'2016 Dec'!L21)/12</f>
        <v>1379.3333333333333</v>
      </c>
      <c r="M21" s="65">
        <f t="shared" si="3"/>
        <v>0.18654975373899713</v>
      </c>
      <c r="N21" s="41">
        <f>('2016 January'!N21+'2016 February'!N21+'2016 Mar'!N21+'2016 Apr'!N21+'2016 May'!N21+'2016 June'!N21+'2016 July'!N21+'2016 Aug'!N21+'2016 Sep'!N21+'2016 Oct'!N21+'2016 Nov'!N21+'2016 Dec'!N21)/12</f>
        <v>1264.25</v>
      </c>
      <c r="O21" s="65">
        <f t="shared" si="4"/>
        <v>0.1454331070976648</v>
      </c>
      <c r="P21" s="41">
        <f>('2016 January'!P21+'2016 February'!P21+'2016 Mar'!P21+'2016 Apr'!P21+'2016 May'!P21+'2016 June'!P21+'2016 July'!P21+'2016 Aug'!P21+'2016 Sep'!P21+'2016 Oct'!P21+'2016 Nov'!P21+'2016 Dec'!P21)/12</f>
        <v>457.25</v>
      </c>
      <c r="Q21" s="65">
        <f t="shared" si="5"/>
        <v>0.13007301346482078</v>
      </c>
      <c r="R21" s="41">
        <f>('2016 January'!R21+'2016 February'!R21+'2016 Mar'!R21+'2016 Apr'!R21+'2016 May'!R21+'2016 June'!R21+'2016 July'!R21+'2016 Aug'!R21+'2016 Sep'!R21+'2016 Oct'!R21+'2016 Nov'!R21+'2016 Dec'!R21)/12</f>
        <v>22.416666666666668</v>
      </c>
      <c r="S21" s="65">
        <f t="shared" si="6"/>
        <v>0.11579853637537667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38589.583333333343</v>
      </c>
      <c r="C23" s="67">
        <f>B23/$B$23</f>
        <v>1</v>
      </c>
      <c r="D23" s="71">
        <f>SUM(D17:D21)</f>
        <v>171.33333333333331</v>
      </c>
      <c r="E23" s="67">
        <f>D23/$D$23</f>
        <v>1</v>
      </c>
      <c r="F23" s="71">
        <f>SUM(F17:F21)</f>
        <v>2928</v>
      </c>
      <c r="G23" s="67">
        <f t="shared" si="0"/>
        <v>1</v>
      </c>
      <c r="H23" s="50">
        <f>SUM(H17:H21)</f>
        <v>5601.9166666666661</v>
      </c>
      <c r="I23" s="67">
        <f t="shared" si="1"/>
        <v>1</v>
      </c>
      <c r="J23" s="71">
        <f>SUM(J17:J21)</f>
        <v>10092.5</v>
      </c>
      <c r="K23" s="67">
        <f t="shared" si="2"/>
        <v>1</v>
      </c>
      <c r="L23" s="50">
        <f>SUM(L17:L21)</f>
        <v>7393.916666666667</v>
      </c>
      <c r="M23" s="67">
        <f t="shared" si="3"/>
        <v>1</v>
      </c>
      <c r="N23" s="50">
        <f>SUM(N17:N21)</f>
        <v>8693</v>
      </c>
      <c r="O23" s="67">
        <f t="shared" si="4"/>
        <v>1</v>
      </c>
      <c r="P23" s="50">
        <f>SUM(P17:P21)</f>
        <v>3515.3333333333335</v>
      </c>
      <c r="Q23" s="67">
        <f t="shared" si="5"/>
        <v>1</v>
      </c>
      <c r="R23" s="50">
        <f>SUM(R17:R21)</f>
        <v>193.58333333333334</v>
      </c>
      <c r="S23" s="67">
        <f t="shared" si="6"/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4.4398855476974553E-3</v>
      </c>
      <c r="E24" s="32"/>
      <c r="F24" s="32">
        <f>F23/$B$23</f>
        <v>7.58753981536468E-2</v>
      </c>
      <c r="G24" s="32"/>
      <c r="H24" s="32">
        <f>H23/$B$23</f>
        <v>0.14516654969497375</v>
      </c>
      <c r="I24" s="32"/>
      <c r="J24" s="32">
        <f>J23/$B$23</f>
        <v>0.26153430869729521</v>
      </c>
      <c r="K24" s="32"/>
      <c r="L24" s="33">
        <f>L23/$B$23</f>
        <v>0.19160395184365381</v>
      </c>
      <c r="M24" s="32"/>
      <c r="N24" s="33">
        <f>N23/$B$23</f>
        <v>0.22526804513307774</v>
      </c>
      <c r="O24" s="32"/>
      <c r="P24" s="33">
        <f>P23/$B$23</f>
        <v>9.1095394914430694E-2</v>
      </c>
      <c r="Q24" s="32"/>
      <c r="R24" s="33">
        <f>R23/$B$23</f>
        <v>5.0164660152243147E-3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B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3"/>
      <c r="B28" s="11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B30" s="10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B31" s="11"/>
      <c r="K31" s="3"/>
      <c r="L31" s="3"/>
      <c r="M31" s="3"/>
      <c r="N31" s="3"/>
      <c r="O31" s="3"/>
      <c r="P31" s="3"/>
      <c r="Q31" s="3"/>
      <c r="R31" s="3"/>
      <c r="S31" s="3"/>
    </row>
    <row r="33" spans="1:9" x14ac:dyDescent="0.2">
      <c r="B33" s="2"/>
      <c r="C33" s="12"/>
      <c r="D33" s="3"/>
      <c r="E33" s="3"/>
      <c r="F33" s="3"/>
      <c r="G33" s="3"/>
      <c r="H33" s="3"/>
      <c r="I33" s="3"/>
    </row>
    <row r="34" spans="1:9" x14ac:dyDescent="0.2">
      <c r="A34" s="10"/>
      <c r="B34" s="13"/>
      <c r="C34" s="4"/>
      <c r="D34" s="4"/>
      <c r="E34" s="3"/>
      <c r="F34" s="4"/>
      <c r="G34" s="3"/>
      <c r="H34" s="4"/>
      <c r="I34" s="3"/>
    </row>
    <row r="35" spans="1:9" x14ac:dyDescent="0.2">
      <c r="A35" s="10"/>
      <c r="B35" s="14"/>
      <c r="C35" s="11"/>
    </row>
    <row r="36" spans="1:9" x14ac:dyDescent="0.2">
      <c r="B36" s="14"/>
    </row>
    <row r="37" spans="1:9" x14ac:dyDescent="0.2">
      <c r="B37" s="14"/>
    </row>
    <row r="38" spans="1:9" x14ac:dyDescent="0.2">
      <c r="B38" s="14"/>
    </row>
    <row r="39" spans="1:9" x14ac:dyDescent="0.2">
      <c r="B39" s="14"/>
    </row>
    <row r="40" spans="1:9" x14ac:dyDescent="0.2">
      <c r="B40" s="14"/>
    </row>
  </sheetData>
  <mergeCells count="18">
    <mergeCell ref="B15:C15"/>
    <mergeCell ref="B3:C3"/>
    <mergeCell ref="D3:E3"/>
    <mergeCell ref="F3:G3"/>
    <mergeCell ref="H3:I3"/>
    <mergeCell ref="D15:E15"/>
    <mergeCell ref="F15:G15"/>
    <mergeCell ref="H15:I15"/>
    <mergeCell ref="N3:O3"/>
    <mergeCell ref="P3:Q3"/>
    <mergeCell ref="R3:S3"/>
    <mergeCell ref="J3:K3"/>
    <mergeCell ref="L3:M3"/>
    <mergeCell ref="P15:Q15"/>
    <mergeCell ref="J15:K15"/>
    <mergeCell ref="L15:M15"/>
    <mergeCell ref="N15:O15"/>
    <mergeCell ref="R15:S15"/>
  </mergeCells>
  <phoneticPr fontId="0" type="noConversion"/>
  <pageMargins left="0.44" right="0.56000000000000005" top="1" bottom="1" header="0.51" footer="0.5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Q31" sqref="Q31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425781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20" x14ac:dyDescent="0.2">
      <c r="A1" s="1" t="s">
        <v>30</v>
      </c>
    </row>
    <row r="2" spans="1:20" ht="13.5" thickBot="1" x14ac:dyDescent="0.25">
      <c r="A2" s="87" t="s">
        <v>20</v>
      </c>
    </row>
    <row r="3" spans="1:20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20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20" ht="13.5" thickBot="1" x14ac:dyDescent="0.25">
      <c r="A5" s="39" t="s">
        <v>11</v>
      </c>
      <c r="B5" s="40">
        <f>D5+F5+H5+J5+L5+N5+P5+R5</f>
        <v>130</v>
      </c>
      <c r="C5" s="15">
        <f>B5/$B$11</f>
        <v>3.3885051479212824E-3</v>
      </c>
      <c r="D5" s="41">
        <v>4</v>
      </c>
      <c r="E5" s="15">
        <f>D5/$D$11</f>
        <v>1.8018018018018018E-2</v>
      </c>
      <c r="F5" s="41">
        <v>8</v>
      </c>
      <c r="G5" s="15">
        <f>F5/$F$11</f>
        <v>2.2459292532285235E-3</v>
      </c>
      <c r="H5" s="41">
        <v>9</v>
      </c>
      <c r="I5" s="15">
        <f>H5/$H$11</f>
        <v>1.498751040799334E-3</v>
      </c>
      <c r="J5" s="41">
        <v>27</v>
      </c>
      <c r="K5" s="15">
        <f>J5/$J$11</f>
        <v>2.8668507114036948E-3</v>
      </c>
      <c r="L5" s="41">
        <v>25</v>
      </c>
      <c r="M5" s="15">
        <f>L5/$L$11</f>
        <v>3.6597862684819207E-3</v>
      </c>
      <c r="N5" s="41">
        <v>35</v>
      </c>
      <c r="O5" s="15">
        <f>N5/$N$11</f>
        <v>4.0607959159995356E-3</v>
      </c>
      <c r="P5" s="41">
        <v>19</v>
      </c>
      <c r="Q5" s="15">
        <f>P5/$P$11</f>
        <v>5.383961462170587E-3</v>
      </c>
      <c r="R5" s="41">
        <v>3</v>
      </c>
      <c r="S5" s="15">
        <f>R5/$R$11</f>
        <v>1.6759776536312849E-2</v>
      </c>
    </row>
    <row r="6" spans="1:20" ht="13.5" thickBot="1" x14ac:dyDescent="0.25">
      <c r="A6" s="42" t="s">
        <v>12</v>
      </c>
      <c r="B6" s="40">
        <f>D6+F6+H6+J6+L6+N6+P6+R6</f>
        <v>7354</v>
      </c>
      <c r="C6" s="16">
        <f>B6/$B$11</f>
        <v>0.19168512967548546</v>
      </c>
      <c r="D6" s="41">
        <v>26</v>
      </c>
      <c r="E6" s="16">
        <f>D6/$D$11</f>
        <v>0.11711711711711711</v>
      </c>
      <c r="F6" s="41">
        <v>144</v>
      </c>
      <c r="G6" s="16">
        <f>F6/$F$11</f>
        <v>4.042672655811342E-2</v>
      </c>
      <c r="H6" s="41">
        <v>359</v>
      </c>
      <c r="I6" s="16">
        <f>H6/$H$11</f>
        <v>5.978351373855121E-2</v>
      </c>
      <c r="J6" s="41">
        <v>1229</v>
      </c>
      <c r="K6" s="16">
        <f>J6/$J$11</f>
        <v>0.13049479719685708</v>
      </c>
      <c r="L6" s="41">
        <v>1486</v>
      </c>
      <c r="M6" s="16">
        <f>L6/$L$11</f>
        <v>0.21753769579856536</v>
      </c>
      <c r="N6" s="41">
        <v>2521</v>
      </c>
      <c r="O6" s="16">
        <f>N6/$N$11</f>
        <v>0.29249332869242373</v>
      </c>
      <c r="P6" s="41">
        <v>1501</v>
      </c>
      <c r="Q6" s="16">
        <f>P6/$P$11</f>
        <v>0.42533295551147632</v>
      </c>
      <c r="R6" s="41">
        <v>88</v>
      </c>
      <c r="S6" s="16">
        <f>R6/$R$11</f>
        <v>0.49162011173184356</v>
      </c>
    </row>
    <row r="7" spans="1:20" ht="13.5" thickBot="1" x14ac:dyDescent="0.25">
      <c r="A7" s="43" t="s">
        <v>13</v>
      </c>
      <c r="B7" s="40">
        <f>D7+F7+H7+J7+L7+N7+P7+R7</f>
        <v>14417</v>
      </c>
      <c r="C7" s="16">
        <f>B7/$B$11</f>
        <v>0.3757852209044702</v>
      </c>
      <c r="D7" s="41">
        <v>154</v>
      </c>
      <c r="E7" s="16">
        <f>D7/$D$11</f>
        <v>0.69369369369369371</v>
      </c>
      <c r="F7" s="41">
        <v>1167</v>
      </c>
      <c r="G7" s="16">
        <f>F7/$F$11</f>
        <v>0.32762492981471086</v>
      </c>
      <c r="H7" s="41">
        <v>1345</v>
      </c>
      <c r="I7" s="16">
        <f>H7/$H$11</f>
        <v>0.22398001665278935</v>
      </c>
      <c r="J7" s="41">
        <v>3352</v>
      </c>
      <c r="K7" s="16">
        <f>J7/$J$11</f>
        <v>0.35591420683796987</v>
      </c>
      <c r="L7" s="41">
        <v>3248</v>
      </c>
      <c r="M7" s="16">
        <f>L7/$L$11</f>
        <v>0.47547943200117115</v>
      </c>
      <c r="N7" s="41">
        <v>3823</v>
      </c>
      <c r="O7" s="16">
        <f>N7/$N$11</f>
        <v>0.44355493676760643</v>
      </c>
      <c r="P7" s="41">
        <v>1266</v>
      </c>
      <c r="Q7" s="16">
        <f>P7/$P$11</f>
        <v>0.35874185321620855</v>
      </c>
      <c r="R7" s="41">
        <v>62</v>
      </c>
      <c r="S7" s="16">
        <f>R7/$R$11</f>
        <v>0.34636871508379891</v>
      </c>
      <c r="T7" s="6"/>
    </row>
    <row r="8" spans="1:20" ht="13.5" thickBot="1" x14ac:dyDescent="0.25">
      <c r="A8" s="42" t="s">
        <v>14</v>
      </c>
      <c r="B8" s="40">
        <f>D8+F8+H8+J8+L8+N8+P8+R8</f>
        <v>4024</v>
      </c>
      <c r="C8" s="16">
        <f>B8/$B$11</f>
        <v>0.10488726704027108</v>
      </c>
      <c r="D8" s="41">
        <v>38</v>
      </c>
      <c r="E8" s="16">
        <f>D8/$D$11</f>
        <v>0.17117117117117117</v>
      </c>
      <c r="F8" s="41">
        <v>538</v>
      </c>
      <c r="G8" s="16">
        <f>F8/$F$11</f>
        <v>0.15103874227961819</v>
      </c>
      <c r="H8" s="41">
        <v>506</v>
      </c>
      <c r="I8" s="16">
        <f>H8/$H$11</f>
        <v>8.4263114071606998E-2</v>
      </c>
      <c r="J8" s="41">
        <v>985</v>
      </c>
      <c r="K8" s="16">
        <f>J8/$J$11</f>
        <v>0.10458696113824591</v>
      </c>
      <c r="L8" s="41">
        <v>748</v>
      </c>
      <c r="M8" s="16">
        <f>L8/$L$11</f>
        <v>0.10950080515297907</v>
      </c>
      <c r="N8" s="41">
        <v>928</v>
      </c>
      <c r="O8" s="16">
        <f>N8/$N$11</f>
        <v>0.10766910314421627</v>
      </c>
      <c r="P8" s="41">
        <v>276</v>
      </c>
      <c r="Q8" s="16">
        <f>P8/$P$11</f>
        <v>7.8209124397846413E-2</v>
      </c>
      <c r="R8" s="41">
        <v>5</v>
      </c>
      <c r="S8" s="16">
        <f>R8/$R$11</f>
        <v>2.7932960893854747E-2</v>
      </c>
    </row>
    <row r="9" spans="1:20" ht="13.5" thickBot="1" x14ac:dyDescent="0.25">
      <c r="A9" s="43" t="s">
        <v>15</v>
      </c>
      <c r="B9" s="40">
        <f>D9+F9+H9+J9+L9+N9+P9+R9</f>
        <v>12440</v>
      </c>
      <c r="C9" s="17">
        <f>B9/$B$11</f>
        <v>0.32425387723185195</v>
      </c>
      <c r="D9" s="41">
        <v>0</v>
      </c>
      <c r="E9" s="17">
        <f>D9/$D$11</f>
        <v>0</v>
      </c>
      <c r="F9" s="41">
        <v>1705</v>
      </c>
      <c r="G9" s="17">
        <f>F9/$F$11</f>
        <v>0.47866367209432903</v>
      </c>
      <c r="H9" s="41">
        <v>3786</v>
      </c>
      <c r="I9" s="17">
        <f>H9/$H$11</f>
        <v>0.63047460449625314</v>
      </c>
      <c r="J9" s="41">
        <v>3825</v>
      </c>
      <c r="K9" s="17">
        <f>J9/$J$11</f>
        <v>0.40613718411552346</v>
      </c>
      <c r="L9" s="41">
        <v>1324</v>
      </c>
      <c r="M9" s="17">
        <f>L9/$L$11</f>
        <v>0.19382228077880251</v>
      </c>
      <c r="N9" s="41">
        <v>1312</v>
      </c>
      <c r="O9" s="17">
        <f>N9/$N$11</f>
        <v>0.15222183547975404</v>
      </c>
      <c r="P9" s="41">
        <v>467</v>
      </c>
      <c r="Q9" s="17">
        <f>P9/$P$11</f>
        <v>0.13233210541229809</v>
      </c>
      <c r="R9" s="41">
        <v>21</v>
      </c>
      <c r="S9" s="17">
        <f>R9/$R$11</f>
        <v>0.11731843575418995</v>
      </c>
    </row>
    <row r="10" spans="1:20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20" x14ac:dyDescent="0.2">
      <c r="A11" s="43" t="s">
        <v>16</v>
      </c>
      <c r="B11" s="48">
        <f>SUM(B5:B9)</f>
        <v>38365</v>
      </c>
      <c r="C11" s="45">
        <f>B11/$B$11</f>
        <v>1</v>
      </c>
      <c r="D11" s="49">
        <f>SUM(D5:D9)</f>
        <v>222</v>
      </c>
      <c r="E11" s="45">
        <f>D11/$D$11</f>
        <v>1</v>
      </c>
      <c r="F11" s="50">
        <f>SUM(F5:F9)</f>
        <v>3562</v>
      </c>
      <c r="G11" s="45">
        <f>F11/$F$11</f>
        <v>1</v>
      </c>
      <c r="H11" s="50">
        <f>SUM(H5:H9)</f>
        <v>6005</v>
      </c>
      <c r="I11" s="45">
        <f>H11/$H$11</f>
        <v>1</v>
      </c>
      <c r="J11" s="47">
        <f>SUM(J5:J9)</f>
        <v>9418</v>
      </c>
      <c r="K11" s="45">
        <f>J11/$J$11</f>
        <v>1</v>
      </c>
      <c r="L11" s="47">
        <f>SUM(L5:L9)</f>
        <v>6831</v>
      </c>
      <c r="M11" s="45">
        <f>L11/$L$11</f>
        <v>1</v>
      </c>
      <c r="N11" s="47">
        <f>SUM(N5:N9)</f>
        <v>8619</v>
      </c>
      <c r="O11" s="45">
        <f>N11/$N$11</f>
        <v>1</v>
      </c>
      <c r="P11" s="47">
        <f>SUM(P5:P9)</f>
        <v>3529</v>
      </c>
      <c r="Q11" s="45">
        <f>P11/$P$11</f>
        <v>1</v>
      </c>
      <c r="R11" s="47">
        <f>SUM(R5:R9)</f>
        <v>179</v>
      </c>
      <c r="S11" s="45">
        <f>R11/$R$11</f>
        <v>1</v>
      </c>
    </row>
    <row r="12" spans="1:20" ht="13.5" thickBot="1" x14ac:dyDescent="0.25">
      <c r="A12" s="51" t="s">
        <v>17</v>
      </c>
      <c r="B12" s="52">
        <f>B11/$B$11</f>
        <v>1</v>
      </c>
      <c r="C12" s="52"/>
      <c r="D12" s="27">
        <f>D11/$B$11</f>
        <v>5.7865241756809589E-3</v>
      </c>
      <c r="E12" s="52"/>
      <c r="F12" s="28">
        <f>F11/$B$11</f>
        <v>9.2845041053043142E-2</v>
      </c>
      <c r="G12" s="52"/>
      <c r="H12" s="28">
        <f>H11/$B$11</f>
        <v>0.15652287240974846</v>
      </c>
      <c r="I12" s="52"/>
      <c r="J12" s="28">
        <f>J11/$B$11</f>
        <v>0.24548416525478953</v>
      </c>
      <c r="K12" s="52"/>
      <c r="L12" s="28">
        <f>L11/$B$11</f>
        <v>0.17805291281115601</v>
      </c>
      <c r="M12" s="52"/>
      <c r="N12" s="28">
        <f>N11/$B$11</f>
        <v>0.22465789130718103</v>
      </c>
      <c r="O12" s="52"/>
      <c r="P12" s="28">
        <f>P11/$B$11</f>
        <v>9.1984882053955427E-2</v>
      </c>
      <c r="Q12" s="52"/>
      <c r="R12" s="28">
        <f>R11/$B$11</f>
        <v>4.6657109344454585E-3</v>
      </c>
      <c r="S12" s="52"/>
    </row>
    <row r="13" spans="1:20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20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20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20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119</v>
      </c>
      <c r="C17" s="60">
        <f>B17/B23</f>
        <v>3.4992795600905695E-3</v>
      </c>
      <c r="D17" s="95">
        <v>0</v>
      </c>
      <c r="E17" s="60">
        <f>D17/D23</f>
        <v>0</v>
      </c>
      <c r="F17" s="96">
        <v>8</v>
      </c>
      <c r="G17" s="60">
        <f>F17/F23</f>
        <v>3.2141422257934912E-3</v>
      </c>
      <c r="H17" s="96">
        <v>16</v>
      </c>
      <c r="I17" s="60">
        <f>H17/H23</f>
        <v>3.1243897676235112E-3</v>
      </c>
      <c r="J17" s="96">
        <v>31</v>
      </c>
      <c r="K17" s="60">
        <f>J17/J23</f>
        <v>3.4092158803475199E-3</v>
      </c>
      <c r="L17" s="96">
        <v>30</v>
      </c>
      <c r="M17" s="60">
        <f>L17/L23</f>
        <v>4.8208259681825488E-3</v>
      </c>
      <c r="N17" s="96">
        <v>20</v>
      </c>
      <c r="O17" s="60">
        <f>N17/N23</f>
        <v>2.6535756932466498E-3</v>
      </c>
      <c r="P17" s="96">
        <v>13</v>
      </c>
      <c r="Q17" s="60">
        <f>P17/P23</f>
        <v>4.0460628695922814E-3</v>
      </c>
      <c r="R17" s="96">
        <v>1</v>
      </c>
      <c r="S17" s="60">
        <f>R17/R23</f>
        <v>5.1546391752577319E-3</v>
      </c>
    </row>
    <row r="18" spans="1:19" ht="15" x14ac:dyDescent="0.25">
      <c r="A18" s="61" t="s">
        <v>12</v>
      </c>
      <c r="B18" s="62">
        <f>D18+F18+H18+J18+L18+N18+P18+R18</f>
        <v>6840</v>
      </c>
      <c r="C18" s="63">
        <f>B18/B23</f>
        <v>0.20113506042873527</v>
      </c>
      <c r="D18" s="95">
        <v>31</v>
      </c>
      <c r="E18" s="63">
        <f>D18/D23</f>
        <v>0.22627737226277372</v>
      </c>
      <c r="F18" s="96">
        <v>232</v>
      </c>
      <c r="G18" s="63">
        <f>F18/F23</f>
        <v>9.3210124548011253E-2</v>
      </c>
      <c r="H18" s="96">
        <v>422</v>
      </c>
      <c r="I18" s="63">
        <f>H18/H23</f>
        <v>8.240578012107011E-2</v>
      </c>
      <c r="J18" s="96">
        <v>1373</v>
      </c>
      <c r="K18" s="63">
        <f>J18/J23</f>
        <v>0.15099527108764985</v>
      </c>
      <c r="L18" s="96">
        <v>1350</v>
      </c>
      <c r="M18" s="63">
        <f>L18/L23</f>
        <v>0.21693716856821468</v>
      </c>
      <c r="N18" s="96">
        <v>2057</v>
      </c>
      <c r="O18" s="63">
        <f>N18/N23</f>
        <v>0.27292026005041792</v>
      </c>
      <c r="P18" s="96">
        <v>1291</v>
      </c>
      <c r="Q18" s="63">
        <f>P18/P23</f>
        <v>0.40180516651104886</v>
      </c>
      <c r="R18" s="96">
        <v>84</v>
      </c>
      <c r="S18" s="63">
        <f>R18/R23</f>
        <v>0.4329896907216495</v>
      </c>
    </row>
    <row r="19" spans="1:19" ht="15" x14ac:dyDescent="0.25">
      <c r="A19" s="29" t="s">
        <v>13</v>
      </c>
      <c r="B19" s="62">
        <f>D19+F19+H19+J19+L19+N19+P19+R19</f>
        <v>12742</v>
      </c>
      <c r="C19" s="63">
        <f>B19/B23</f>
        <v>0.3746875643249919</v>
      </c>
      <c r="D19" s="95">
        <v>83</v>
      </c>
      <c r="E19" s="63">
        <f>D19/D23</f>
        <v>0.6058394160583942</v>
      </c>
      <c r="F19" s="96">
        <v>771</v>
      </c>
      <c r="G19" s="63">
        <f>F19/F23</f>
        <v>0.30976295701084772</v>
      </c>
      <c r="H19" s="96">
        <v>1207</v>
      </c>
      <c r="I19" s="63">
        <f>H19/H23</f>
        <v>0.23569615309509862</v>
      </c>
      <c r="J19" s="96">
        <v>3104</v>
      </c>
      <c r="K19" s="63">
        <f>J19/J23</f>
        <v>0.34136148685802264</v>
      </c>
      <c r="L19" s="96">
        <v>2856</v>
      </c>
      <c r="M19" s="63">
        <f>L19/L23</f>
        <v>0.45894263217097864</v>
      </c>
      <c r="N19" s="96">
        <v>3443</v>
      </c>
      <c r="O19" s="63">
        <f>N19/N23</f>
        <v>0.45681305559241075</v>
      </c>
      <c r="P19" s="96">
        <v>1211</v>
      </c>
      <c r="Q19" s="63">
        <f>P19/P23</f>
        <v>0.37690631808278868</v>
      </c>
      <c r="R19" s="96">
        <v>67</v>
      </c>
      <c r="S19" s="63">
        <f>R19/R23</f>
        <v>0.34536082474226804</v>
      </c>
    </row>
    <row r="20" spans="1:19" ht="15" x14ac:dyDescent="0.25">
      <c r="A20" s="61" t="s">
        <v>14</v>
      </c>
      <c r="B20" s="62">
        <f>D20+F20+H20+J20+L20+N20+P20+R20</f>
        <v>3228</v>
      </c>
      <c r="C20" s="63">
        <f>B20/B23</f>
        <v>9.4921633781280323E-2</v>
      </c>
      <c r="D20" s="95">
        <v>23</v>
      </c>
      <c r="E20" s="63">
        <f>D20/D23</f>
        <v>0.16788321167883211</v>
      </c>
      <c r="F20" s="96">
        <v>346</v>
      </c>
      <c r="G20" s="63">
        <f>F20/F23</f>
        <v>0.1390116512655685</v>
      </c>
      <c r="H20" s="96">
        <v>404</v>
      </c>
      <c r="I20" s="63">
        <f>H20/H23</f>
        <v>7.8890841632493658E-2</v>
      </c>
      <c r="J20" s="96">
        <v>819</v>
      </c>
      <c r="K20" s="63">
        <f>J20/J23</f>
        <v>9.0069284064665134E-2</v>
      </c>
      <c r="L20" s="96">
        <v>587</v>
      </c>
      <c r="M20" s="63">
        <f>L20/L23</f>
        <v>9.4327494777438528E-2</v>
      </c>
      <c r="N20" s="96">
        <v>780</v>
      </c>
      <c r="O20" s="63">
        <f>N20/N23</f>
        <v>0.10348945203661934</v>
      </c>
      <c r="P20" s="96">
        <v>255</v>
      </c>
      <c r="Q20" s="63">
        <f>P20/P23</f>
        <v>7.9365079365079361E-2</v>
      </c>
      <c r="R20" s="96">
        <v>14</v>
      </c>
      <c r="S20" s="63">
        <f>R20/R23</f>
        <v>7.2164948453608241E-2</v>
      </c>
    </row>
    <row r="21" spans="1:19" ht="13.5" thickBot="1" x14ac:dyDescent="0.25">
      <c r="A21" s="29" t="s">
        <v>15</v>
      </c>
      <c r="B21" s="64">
        <f>D21+F21+H21+J21+L21+N21+P21+R21</f>
        <v>11078</v>
      </c>
      <c r="C21" s="65">
        <f>B21/B23</f>
        <v>0.32575646190490193</v>
      </c>
      <c r="D21" s="95">
        <v>0</v>
      </c>
      <c r="E21" s="65">
        <f>D21/D23</f>
        <v>0</v>
      </c>
      <c r="F21" s="97">
        <f>289+843</f>
        <v>1132</v>
      </c>
      <c r="G21" s="65">
        <f>F21/F23</f>
        <v>0.45480112494977903</v>
      </c>
      <c r="H21" s="97">
        <f>513+2559</f>
        <v>3072</v>
      </c>
      <c r="I21" s="65">
        <f>H21/H23</f>
        <v>0.59988283538371412</v>
      </c>
      <c r="J21" s="97">
        <f>876+2890</f>
        <v>3766</v>
      </c>
      <c r="K21" s="65">
        <f>J21/J23</f>
        <v>0.41416474210931487</v>
      </c>
      <c r="L21" s="97">
        <f>585+815</f>
        <v>1400</v>
      </c>
      <c r="M21" s="65">
        <f>L21/L23</f>
        <v>0.2249718785151856</v>
      </c>
      <c r="N21" s="97">
        <f>528+709</f>
        <v>1237</v>
      </c>
      <c r="O21" s="65">
        <f>N21/N23</f>
        <v>0.1641236566273053</v>
      </c>
      <c r="P21" s="97">
        <f>171+272</f>
        <v>443</v>
      </c>
      <c r="Q21" s="65">
        <f>P21/P23</f>
        <v>0.13787737317149082</v>
      </c>
      <c r="R21" s="97">
        <f>9+19</f>
        <v>28</v>
      </c>
      <c r="S21" s="65">
        <f>R21/R23</f>
        <v>0.14432989690721648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34007</v>
      </c>
      <c r="C23" s="67">
        <f t="shared" ref="C23:S23" si="0">SUM(C17:C21)</f>
        <v>1</v>
      </c>
      <c r="D23" s="71">
        <f t="shared" si="0"/>
        <v>137</v>
      </c>
      <c r="E23" s="67">
        <f t="shared" si="0"/>
        <v>1</v>
      </c>
      <c r="F23" s="71">
        <f t="shared" si="0"/>
        <v>2489</v>
      </c>
      <c r="G23" s="67">
        <f t="shared" si="0"/>
        <v>1</v>
      </c>
      <c r="H23" s="50">
        <f t="shared" si="0"/>
        <v>5121</v>
      </c>
      <c r="I23" s="67">
        <f t="shared" si="0"/>
        <v>1</v>
      </c>
      <c r="J23" s="71">
        <f t="shared" si="0"/>
        <v>9093</v>
      </c>
      <c r="K23" s="67">
        <f>SUM(K17:K21)</f>
        <v>1</v>
      </c>
      <c r="L23" s="50">
        <f t="shared" si="0"/>
        <v>6223</v>
      </c>
      <c r="M23" s="67">
        <f t="shared" si="0"/>
        <v>1</v>
      </c>
      <c r="N23" s="50">
        <f t="shared" si="0"/>
        <v>7537</v>
      </c>
      <c r="O23" s="67">
        <f t="shared" si="0"/>
        <v>1</v>
      </c>
      <c r="P23" s="50">
        <f t="shared" si="0"/>
        <v>3213</v>
      </c>
      <c r="Q23" s="67">
        <f t="shared" si="0"/>
        <v>1</v>
      </c>
      <c r="R23" s="50">
        <f t="shared" si="0"/>
        <v>194</v>
      </c>
      <c r="S23" s="67">
        <f t="shared" si="0"/>
        <v>1</v>
      </c>
    </row>
    <row r="24" spans="1:19" ht="13.5" thickBot="1" x14ac:dyDescent="0.25">
      <c r="A24" s="31" t="s">
        <v>17</v>
      </c>
      <c r="B24" s="32">
        <v>1</v>
      </c>
      <c r="C24" s="32"/>
      <c r="D24" s="32">
        <f>D23/$B$23</f>
        <v>4.0285823506925047E-3</v>
      </c>
      <c r="E24" s="32"/>
      <c r="F24" s="32">
        <f>F23/$B$23</f>
        <v>7.3190813656012002E-2</v>
      </c>
      <c r="G24" s="32"/>
      <c r="H24" s="32">
        <f>H23/$B$23</f>
        <v>0.15058664392625049</v>
      </c>
      <c r="I24" s="32"/>
      <c r="J24" s="32">
        <f>J23/$B$23</f>
        <v>0.26738612638574411</v>
      </c>
      <c r="K24" s="32"/>
      <c r="L24" s="33">
        <f>L23/$B$23</f>
        <v>0.18299173699532451</v>
      </c>
      <c r="M24" s="32"/>
      <c r="N24" s="33">
        <f>N23/$B$23</f>
        <v>0.22163084070926575</v>
      </c>
      <c r="O24" s="32"/>
      <c r="P24" s="33">
        <f>P23/$B$23</f>
        <v>9.4480548122445385E-2</v>
      </c>
      <c r="Q24" s="32"/>
      <c r="R24" s="33">
        <f>R23/$B$23</f>
        <v>5.7047078542652981E-3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16" x14ac:dyDescent="0.2">
      <c r="B33" s="3"/>
      <c r="C33" s="3"/>
      <c r="D33" s="3"/>
      <c r="E33" s="3"/>
      <c r="F33" s="3"/>
      <c r="G33" s="3"/>
      <c r="H33" s="3"/>
      <c r="I33" s="3"/>
      <c r="P33" s="3"/>
    </row>
    <row r="34" spans="2:16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B15:C15"/>
    <mergeCell ref="B3:C3"/>
    <mergeCell ref="D3:E3"/>
    <mergeCell ref="F3:G3"/>
    <mergeCell ref="H3:I3"/>
    <mergeCell ref="D15:E15"/>
    <mergeCell ref="F15:G15"/>
    <mergeCell ref="H15:I15"/>
    <mergeCell ref="N3:O3"/>
    <mergeCell ref="P3:Q3"/>
    <mergeCell ref="R3:S3"/>
    <mergeCell ref="J3:K3"/>
    <mergeCell ref="L3:M3"/>
    <mergeCell ref="P15:Q15"/>
    <mergeCell ref="J15:K15"/>
    <mergeCell ref="L15:M15"/>
    <mergeCell ref="N15:O15"/>
    <mergeCell ref="R15:S15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425781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31</v>
      </c>
    </row>
    <row r="2" spans="1:19" ht="13.5" thickBot="1" x14ac:dyDescent="0.25"/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134</v>
      </c>
      <c r="C5" s="15">
        <f>B5/$B$11</f>
        <v>3.6200561919170087E-3</v>
      </c>
      <c r="D5" s="95">
        <v>3</v>
      </c>
      <c r="E5" s="15">
        <f>D5/$D$11</f>
        <v>1.4778325123152709E-2</v>
      </c>
      <c r="F5" s="96">
        <v>10</v>
      </c>
      <c r="G5" s="15">
        <f>F5/$F$11</f>
        <v>2.972651605231867E-3</v>
      </c>
      <c r="H5" s="96">
        <v>10</v>
      </c>
      <c r="I5" s="15">
        <f>H5/$H$11</f>
        <v>1.7908309455587394E-3</v>
      </c>
      <c r="J5" s="96">
        <v>25</v>
      </c>
      <c r="K5" s="15">
        <f>J5/$J$11</f>
        <v>2.8096201393571587E-3</v>
      </c>
      <c r="L5" s="96">
        <v>29</v>
      </c>
      <c r="M5" s="15">
        <f>L5/$L$11</f>
        <v>4.2703578265351197E-3</v>
      </c>
      <c r="N5" s="96">
        <v>36</v>
      </c>
      <c r="O5" s="15">
        <f>N5/$N$11</f>
        <v>4.2333019755409216E-3</v>
      </c>
      <c r="P5" s="96">
        <v>19</v>
      </c>
      <c r="Q5" s="15">
        <f>P5/$P$11</f>
        <v>5.4613394653636104E-3</v>
      </c>
      <c r="R5" s="96">
        <v>2</v>
      </c>
      <c r="S5" s="15">
        <f>R5/$R$11</f>
        <v>1.0362694300518135E-2</v>
      </c>
    </row>
    <row r="6" spans="1:19" ht="15.75" thickBot="1" x14ac:dyDescent="0.3">
      <c r="A6" s="42" t="s">
        <v>12</v>
      </c>
      <c r="B6" s="40">
        <f>D6+F6+H6+J6+L6+N6+P6+R6</f>
        <v>7475</v>
      </c>
      <c r="C6" s="16">
        <f>B6/$B$11</f>
        <v>0.20193970175059434</v>
      </c>
      <c r="D6" s="95">
        <v>27</v>
      </c>
      <c r="E6" s="16">
        <f>D6/$D$11</f>
        <v>0.13300492610837439</v>
      </c>
      <c r="F6" s="96">
        <v>146</v>
      </c>
      <c r="G6" s="16">
        <f>F6/$F$11</f>
        <v>4.3400713436385255E-2</v>
      </c>
      <c r="H6" s="96">
        <v>373</v>
      </c>
      <c r="I6" s="16">
        <f>H6/$H$11</f>
        <v>6.679799426934098E-2</v>
      </c>
      <c r="J6" s="96">
        <v>1289</v>
      </c>
      <c r="K6" s="16">
        <f>J6/$J$11</f>
        <v>0.14486401438525512</v>
      </c>
      <c r="L6" s="96">
        <v>1536</v>
      </c>
      <c r="M6" s="16">
        <f>L6/$L$11</f>
        <v>0.22618171108820498</v>
      </c>
      <c r="N6" s="96">
        <v>2516</v>
      </c>
      <c r="O6" s="16">
        <f>N6/$N$11</f>
        <v>0.29586077140169331</v>
      </c>
      <c r="P6" s="96">
        <v>1490</v>
      </c>
      <c r="Q6" s="16">
        <f>P6/$P$11</f>
        <v>0.42828398965219888</v>
      </c>
      <c r="R6" s="96">
        <v>98</v>
      </c>
      <c r="S6" s="16">
        <f>R6/$R$11</f>
        <v>0.50777202072538863</v>
      </c>
    </row>
    <row r="7" spans="1:19" ht="15.75" thickBot="1" x14ac:dyDescent="0.3">
      <c r="A7" s="43" t="s">
        <v>13</v>
      </c>
      <c r="B7" s="40">
        <f>D7+F7+H7+J7+L7+N7+P7+R7</f>
        <v>14269</v>
      </c>
      <c r="C7" s="16">
        <f>B7/$B$11</f>
        <v>0.38548195374972982</v>
      </c>
      <c r="D7" s="95">
        <v>138</v>
      </c>
      <c r="E7" s="16">
        <f>D7/$D$11</f>
        <v>0.67980295566502458</v>
      </c>
      <c r="F7" s="96">
        <v>1118</v>
      </c>
      <c r="G7" s="16">
        <f>F7/$F$11</f>
        <v>0.3323424494649227</v>
      </c>
      <c r="H7" s="96">
        <v>1310</v>
      </c>
      <c r="I7" s="16">
        <f>H7/$H$11</f>
        <v>0.23459885386819485</v>
      </c>
      <c r="J7" s="96">
        <v>3361</v>
      </c>
      <c r="K7" s="16">
        <f>J7/$J$11</f>
        <v>0.37772533153517646</v>
      </c>
      <c r="L7" s="96">
        <v>3238</v>
      </c>
      <c r="M7" s="16">
        <f>L7/$L$11</f>
        <v>0.47680753939036963</v>
      </c>
      <c r="N7" s="96">
        <v>3781</v>
      </c>
      <c r="O7" s="16">
        <f>N7/$N$11</f>
        <v>0.44461429915333961</v>
      </c>
      <c r="P7" s="96">
        <v>1258</v>
      </c>
      <c r="Q7" s="16">
        <f>P7/$P$11</f>
        <v>0.36159816039091691</v>
      </c>
      <c r="R7" s="96">
        <v>65</v>
      </c>
      <c r="S7" s="16">
        <f>R7/$R$11</f>
        <v>0.33678756476683935</v>
      </c>
    </row>
    <row r="8" spans="1:19" ht="15.75" thickBot="1" x14ac:dyDescent="0.3">
      <c r="A8" s="42" t="s">
        <v>14</v>
      </c>
      <c r="B8" s="40">
        <f>D8+F8+H8+J8+L8+N8+P8+R8</f>
        <v>3946</v>
      </c>
      <c r="C8" s="16">
        <f>B8/$B$11</f>
        <v>0.10660255024854118</v>
      </c>
      <c r="D8" s="95">
        <v>35</v>
      </c>
      <c r="E8" s="16">
        <f>D8/$D$11</f>
        <v>0.17241379310344829</v>
      </c>
      <c r="F8" s="96">
        <v>506</v>
      </c>
      <c r="G8" s="16">
        <f>F8/$F$11</f>
        <v>0.15041617122473247</v>
      </c>
      <c r="H8" s="96">
        <v>495</v>
      </c>
      <c r="I8" s="16">
        <f>H8/$H$11</f>
        <v>8.8646131805157596E-2</v>
      </c>
      <c r="J8" s="96">
        <v>993</v>
      </c>
      <c r="K8" s="16">
        <f>J8/$J$11</f>
        <v>0.11159811193526635</v>
      </c>
      <c r="L8" s="96">
        <v>738</v>
      </c>
      <c r="M8" s="16">
        <f>L8/$L$11</f>
        <v>0.10867324399941099</v>
      </c>
      <c r="N8" s="96">
        <v>906</v>
      </c>
      <c r="O8" s="16">
        <f>N8/$N$11</f>
        <v>0.10653809971777987</v>
      </c>
      <c r="P8" s="96">
        <v>266</v>
      </c>
      <c r="Q8" s="16">
        <f>P8/$P$11</f>
        <v>7.6458752515090544E-2</v>
      </c>
      <c r="R8" s="96">
        <v>7</v>
      </c>
      <c r="S8" s="16">
        <f>R8/$R$11</f>
        <v>3.6269430051813469E-2</v>
      </c>
    </row>
    <row r="9" spans="1:19" ht="13.5" thickBot="1" x14ac:dyDescent="0.25">
      <c r="A9" s="43" t="s">
        <v>15</v>
      </c>
      <c r="B9" s="40">
        <f>D9+F9+H9+J9+L9+N9+P9+R9</f>
        <v>11192</v>
      </c>
      <c r="C9" s="17">
        <f>B9/$B$11</f>
        <v>0.30235573805921762</v>
      </c>
      <c r="D9" s="95">
        <v>0</v>
      </c>
      <c r="E9" s="17">
        <f>D9/$D$11</f>
        <v>0</v>
      </c>
      <c r="F9" s="97">
        <v>1584</v>
      </c>
      <c r="G9" s="17">
        <f>F9/$F$11</f>
        <v>0.47086801426872771</v>
      </c>
      <c r="H9" s="97">
        <v>3396</v>
      </c>
      <c r="I9" s="17">
        <f>H9/$H$11</f>
        <v>0.6081661891117478</v>
      </c>
      <c r="J9" s="97">
        <v>3230</v>
      </c>
      <c r="K9" s="17">
        <f>J9/$J$11</f>
        <v>0.36300292200494494</v>
      </c>
      <c r="L9" s="97">
        <v>1250</v>
      </c>
      <c r="M9" s="17">
        <f>L9/$L$11</f>
        <v>0.1840671476954793</v>
      </c>
      <c r="N9" s="97">
        <v>1265</v>
      </c>
      <c r="O9" s="17">
        <f>N9/$N$11</f>
        <v>0.1487535277516463</v>
      </c>
      <c r="P9" s="97">
        <v>446</v>
      </c>
      <c r="Q9" s="17">
        <f>P9/$P$11</f>
        <v>0.12819775797643002</v>
      </c>
      <c r="R9" s="97">
        <v>21</v>
      </c>
      <c r="S9" s="17">
        <f>R9/$R$11</f>
        <v>0.10880829015544041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37016</v>
      </c>
      <c r="C11" s="45">
        <f>B11/$B$11</f>
        <v>1</v>
      </c>
      <c r="D11" s="49">
        <f>SUM(D5:D9)</f>
        <v>203</v>
      </c>
      <c r="E11" s="45">
        <f>D11/$D$11</f>
        <v>1</v>
      </c>
      <c r="F11" s="50">
        <f>SUM(F5:F9)</f>
        <v>3364</v>
      </c>
      <c r="G11" s="45">
        <f>F11/$F$11</f>
        <v>1</v>
      </c>
      <c r="H11" s="50">
        <f>SUM(H5:H9)</f>
        <v>5584</v>
      </c>
      <c r="I11" s="45">
        <f>H11/$H$11</f>
        <v>1</v>
      </c>
      <c r="J11" s="47">
        <f>SUM(J5:J9)</f>
        <v>8898</v>
      </c>
      <c r="K11" s="45">
        <f>J11/$J$11</f>
        <v>1</v>
      </c>
      <c r="L11" s="47">
        <f>SUM(L5:L9)</f>
        <v>6791</v>
      </c>
      <c r="M11" s="45">
        <f>L11/$L$11</f>
        <v>1</v>
      </c>
      <c r="N11" s="47">
        <f>SUM(N5:N9)</f>
        <v>8504</v>
      </c>
      <c r="O11" s="45">
        <f>N11/$N$11</f>
        <v>1</v>
      </c>
      <c r="P11" s="47">
        <f>SUM(P5:P9)</f>
        <v>3479</v>
      </c>
      <c r="Q11" s="45">
        <f>P11/$P$11</f>
        <v>1</v>
      </c>
      <c r="R11" s="47">
        <f>SUM(R5:R9)</f>
        <v>193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5.4841149773071102E-3</v>
      </c>
      <c r="E12" s="52"/>
      <c r="F12" s="28">
        <f>F11/$B$11</f>
        <v>9.0879619623946403E-2</v>
      </c>
      <c r="G12" s="52"/>
      <c r="H12" s="28">
        <f>H11/$B$11</f>
        <v>0.15085368489301923</v>
      </c>
      <c r="I12" s="52"/>
      <c r="J12" s="28">
        <f>J11/$B$11</f>
        <v>0.2403825372811757</v>
      </c>
      <c r="K12" s="52"/>
      <c r="L12" s="28">
        <f>L11/$B$11</f>
        <v>0.18346120596498811</v>
      </c>
      <c r="M12" s="52"/>
      <c r="N12" s="28">
        <f>N11/$B$11</f>
        <v>0.22973849146315106</v>
      </c>
      <c r="O12" s="52"/>
      <c r="P12" s="28">
        <f>P11/$B$11</f>
        <v>9.398638426626324E-2</v>
      </c>
      <c r="Q12" s="52"/>
      <c r="R12" s="28">
        <f>R11/$B$11</f>
        <v>5.2139615301491247E-3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121</v>
      </c>
      <c r="C17" s="60">
        <f>B17/B23</f>
        <v>3.5898653058802589E-3</v>
      </c>
      <c r="D17" s="95">
        <v>2</v>
      </c>
      <c r="E17" s="60">
        <f>D17/D23</f>
        <v>1.2578616352201259E-2</v>
      </c>
      <c r="F17" s="96">
        <v>7</v>
      </c>
      <c r="G17" s="60">
        <f>F17/F23</f>
        <v>2.8513238289205704E-3</v>
      </c>
      <c r="H17" s="96">
        <v>15</v>
      </c>
      <c r="I17" s="60">
        <f>H17/H23</f>
        <v>3.0401297122010537E-3</v>
      </c>
      <c r="J17" s="96">
        <v>28</v>
      </c>
      <c r="K17" s="60">
        <f>J17/J23</f>
        <v>3.1326918773774892E-3</v>
      </c>
      <c r="L17" s="96">
        <v>35</v>
      </c>
      <c r="M17" s="60">
        <f>L17/L23</f>
        <v>5.5388510840322838E-3</v>
      </c>
      <c r="N17" s="96">
        <v>22</v>
      </c>
      <c r="O17" s="60">
        <f>N17/N23</f>
        <v>2.9439314866854006E-3</v>
      </c>
      <c r="P17" s="96">
        <v>11</v>
      </c>
      <c r="Q17" s="60">
        <f>P17/P23</f>
        <v>3.4066274388355527E-3</v>
      </c>
      <c r="R17" s="96">
        <v>1</v>
      </c>
      <c r="S17" s="60">
        <f>R17/R23</f>
        <v>5.0251256281407036E-3</v>
      </c>
    </row>
    <row r="18" spans="1:19" ht="15" x14ac:dyDescent="0.25">
      <c r="A18" s="61" t="s">
        <v>12</v>
      </c>
      <c r="B18" s="62">
        <f>D18+F18+H18+J18+L18+N18+P18+R18</f>
        <v>7110</v>
      </c>
      <c r="C18" s="63">
        <f>B18/B23</f>
        <v>0.21094167210585651</v>
      </c>
      <c r="D18" s="95">
        <v>37</v>
      </c>
      <c r="E18" s="63">
        <f>D18/D23</f>
        <v>0.23270440251572327</v>
      </c>
      <c r="F18" s="96">
        <v>263</v>
      </c>
      <c r="G18" s="63">
        <f>F18/F23</f>
        <v>0.10712830957230142</v>
      </c>
      <c r="H18" s="96">
        <v>452</v>
      </c>
      <c r="I18" s="63">
        <f>H18/H23</f>
        <v>9.1609241994325089E-2</v>
      </c>
      <c r="J18" s="96">
        <v>1481</v>
      </c>
      <c r="K18" s="63">
        <f>J18/J23</f>
        <v>0.16569702394271649</v>
      </c>
      <c r="L18" s="96">
        <v>1445</v>
      </c>
      <c r="M18" s="63">
        <f>L18/L23</f>
        <v>0.2286754233264757</v>
      </c>
      <c r="N18" s="96">
        <v>2044</v>
      </c>
      <c r="O18" s="63">
        <f>N18/N23</f>
        <v>0.27351799812658906</v>
      </c>
      <c r="P18" s="96">
        <v>1299</v>
      </c>
      <c r="Q18" s="63">
        <f>P18/P23</f>
        <v>0.40229173118612571</v>
      </c>
      <c r="R18" s="96">
        <v>89</v>
      </c>
      <c r="S18" s="63">
        <f>R18/R23</f>
        <v>0.44723618090452261</v>
      </c>
    </row>
    <row r="19" spans="1:19" ht="15" x14ac:dyDescent="0.25">
      <c r="A19" s="29" t="s">
        <v>13</v>
      </c>
      <c r="B19" s="62">
        <f>D19+F19+H19+J19+L19+N19+P19+R19</f>
        <v>12989</v>
      </c>
      <c r="C19" s="63">
        <f>B19/B23</f>
        <v>0.38536165667833622</v>
      </c>
      <c r="D19" s="95">
        <v>92</v>
      </c>
      <c r="E19" s="63">
        <f>D19/D23</f>
        <v>0.57861635220125784</v>
      </c>
      <c r="F19" s="96">
        <v>765</v>
      </c>
      <c r="G19" s="63">
        <f>F19/F23</f>
        <v>0.31160896130346233</v>
      </c>
      <c r="H19" s="96">
        <v>1207</v>
      </c>
      <c r="I19" s="63">
        <f>H19/H23</f>
        <v>0.24462910417511147</v>
      </c>
      <c r="J19" s="96">
        <v>3285</v>
      </c>
      <c r="K19" s="63">
        <f>J19/J23</f>
        <v>0.36753188632803757</v>
      </c>
      <c r="L19" s="96">
        <v>2932</v>
      </c>
      <c r="M19" s="63">
        <f>L19/L23</f>
        <v>0.46399746795379015</v>
      </c>
      <c r="N19" s="96">
        <v>3407</v>
      </c>
      <c r="O19" s="63">
        <f>N19/N23</f>
        <v>0.45590793523350731</v>
      </c>
      <c r="P19" s="96">
        <v>1233</v>
      </c>
      <c r="Q19" s="63">
        <f>P19/P23</f>
        <v>0.38185196655311243</v>
      </c>
      <c r="R19" s="96">
        <v>68</v>
      </c>
      <c r="S19" s="63">
        <f>R19/R23</f>
        <v>0.34170854271356782</v>
      </c>
    </row>
    <row r="20" spans="1:19" ht="15" x14ac:dyDescent="0.25">
      <c r="A20" s="61" t="s">
        <v>14</v>
      </c>
      <c r="B20" s="62">
        <f>D20+F20+H20+J20+L20+N20+P20+R20</f>
        <v>3254</v>
      </c>
      <c r="C20" s="63">
        <f>B20/B23</f>
        <v>9.6540675250697205E-2</v>
      </c>
      <c r="D20" s="95">
        <v>28</v>
      </c>
      <c r="E20" s="63">
        <f>D20/D23</f>
        <v>0.1761006289308176</v>
      </c>
      <c r="F20" s="96">
        <v>347</v>
      </c>
      <c r="G20" s="63">
        <f>F20/F23</f>
        <v>0.14134419551934826</v>
      </c>
      <c r="H20" s="96">
        <v>423</v>
      </c>
      <c r="I20" s="63">
        <f>H20/H23</f>
        <v>8.5731657884069723E-2</v>
      </c>
      <c r="J20" s="96">
        <v>834</v>
      </c>
      <c r="K20" s="63">
        <f>J20/J23</f>
        <v>9.3309465204743786E-2</v>
      </c>
      <c r="L20" s="96">
        <v>603</v>
      </c>
      <c r="M20" s="63">
        <f>L20/L23</f>
        <v>9.5426491533470492E-2</v>
      </c>
      <c r="N20" s="96">
        <v>762</v>
      </c>
      <c r="O20" s="63">
        <f>N20/N23</f>
        <v>0.10196708149337616</v>
      </c>
      <c r="P20" s="96">
        <v>245</v>
      </c>
      <c r="Q20" s="63">
        <f>P20/P23</f>
        <v>7.587488386497368E-2</v>
      </c>
      <c r="R20" s="96">
        <v>12</v>
      </c>
      <c r="S20" s="63">
        <f>R20/R23</f>
        <v>6.030150753768844E-2</v>
      </c>
    </row>
    <row r="21" spans="1:19" ht="13.5" thickBot="1" x14ac:dyDescent="0.25">
      <c r="A21" s="29" t="s">
        <v>15</v>
      </c>
      <c r="B21" s="64">
        <f>D21+F21+H21+J21+L21+N21+P21+R21</f>
        <v>10232</v>
      </c>
      <c r="C21" s="65">
        <f>B21/B23</f>
        <v>0.30356613065922983</v>
      </c>
      <c r="D21" s="95">
        <v>0</v>
      </c>
      <c r="E21" s="65">
        <f>D21/D23</f>
        <v>0</v>
      </c>
      <c r="F21" s="97">
        <f>284+789</f>
        <v>1073</v>
      </c>
      <c r="G21" s="65">
        <f>F21/F23</f>
        <v>0.43706720977596741</v>
      </c>
      <c r="H21" s="97">
        <f>502+2335</f>
        <v>2837</v>
      </c>
      <c r="I21" s="65">
        <f>H21/H23</f>
        <v>0.57498986623429271</v>
      </c>
      <c r="J21" s="97">
        <f>863+2447</f>
        <v>3310</v>
      </c>
      <c r="K21" s="65">
        <f>J21/J23</f>
        <v>0.37032893264712463</v>
      </c>
      <c r="L21" s="97">
        <f>569+735</f>
        <v>1304</v>
      </c>
      <c r="M21" s="65">
        <f>L21/L23</f>
        <v>0.20636176610223136</v>
      </c>
      <c r="N21" s="97">
        <f>543+695</f>
        <v>1238</v>
      </c>
      <c r="O21" s="65">
        <f>N21/N23</f>
        <v>0.1656630536598421</v>
      </c>
      <c r="P21" s="97">
        <f>171+270</f>
        <v>441</v>
      </c>
      <c r="Q21" s="65">
        <f>P21/P23</f>
        <v>0.13657479095695263</v>
      </c>
      <c r="R21" s="97">
        <f>11+18</f>
        <v>29</v>
      </c>
      <c r="S21" s="65">
        <f>R21/R23</f>
        <v>0.14572864321608039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33706</v>
      </c>
      <c r="C23" s="67">
        <f t="shared" ref="C23:S23" si="0">SUM(C17:C21)</f>
        <v>1</v>
      </c>
      <c r="D23" s="71">
        <f t="shared" si="0"/>
        <v>159</v>
      </c>
      <c r="E23" s="67">
        <f t="shared" si="0"/>
        <v>1</v>
      </c>
      <c r="F23" s="71">
        <f t="shared" si="0"/>
        <v>2455</v>
      </c>
      <c r="G23" s="67">
        <f t="shared" si="0"/>
        <v>1</v>
      </c>
      <c r="H23" s="50">
        <f t="shared" si="0"/>
        <v>4934</v>
      </c>
      <c r="I23" s="67">
        <f t="shared" si="0"/>
        <v>1</v>
      </c>
      <c r="J23" s="71">
        <f t="shared" si="0"/>
        <v>8938</v>
      </c>
      <c r="K23" s="67">
        <f>SUM(K17:K21)</f>
        <v>1</v>
      </c>
      <c r="L23" s="50">
        <f t="shared" si="0"/>
        <v>6319</v>
      </c>
      <c r="M23" s="67">
        <f t="shared" si="0"/>
        <v>1</v>
      </c>
      <c r="N23" s="50">
        <f t="shared" si="0"/>
        <v>7473</v>
      </c>
      <c r="O23" s="67">
        <f t="shared" si="0"/>
        <v>1</v>
      </c>
      <c r="P23" s="50">
        <f t="shared" si="0"/>
        <v>3229</v>
      </c>
      <c r="Q23" s="67">
        <f t="shared" si="0"/>
        <v>1</v>
      </c>
      <c r="R23" s="50">
        <f t="shared" si="0"/>
        <v>199</v>
      </c>
      <c r="S23" s="67">
        <f t="shared" si="0"/>
        <v>1</v>
      </c>
    </row>
    <row r="24" spans="1:19" ht="13.5" thickBot="1" x14ac:dyDescent="0.25">
      <c r="A24" s="31" t="s">
        <v>17</v>
      </c>
      <c r="B24" s="32">
        <v>1</v>
      </c>
      <c r="C24" s="32"/>
      <c r="D24" s="32">
        <f>D23/$B$23</f>
        <v>4.7172610217765384E-3</v>
      </c>
      <c r="E24" s="32"/>
      <c r="F24" s="32">
        <f>F23/$B$23</f>
        <v>7.2835696908562272E-2</v>
      </c>
      <c r="G24" s="32"/>
      <c r="H24" s="32">
        <f>H23/$B$23</f>
        <v>0.14638343321663799</v>
      </c>
      <c r="I24" s="32"/>
      <c r="J24" s="32">
        <f>J23/$B$23</f>
        <v>0.2651753397021302</v>
      </c>
      <c r="K24" s="32"/>
      <c r="L24" s="33">
        <f>L23/$B$23</f>
        <v>0.18747404023022607</v>
      </c>
      <c r="M24" s="32"/>
      <c r="N24" s="33">
        <f>N23/$B$23</f>
        <v>0.2217112680234973</v>
      </c>
      <c r="O24" s="32"/>
      <c r="P24" s="33">
        <f>P23/$B$23</f>
        <v>9.5798967542870705E-2</v>
      </c>
      <c r="Q24" s="32"/>
      <c r="R24" s="33">
        <f>R23/$B$23</f>
        <v>5.903993354298938E-3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N15:O15"/>
    <mergeCell ref="P15:Q15"/>
    <mergeCell ref="R15:S15"/>
    <mergeCell ref="N3:O3"/>
    <mergeCell ref="P3:Q3"/>
    <mergeCell ref="B15:C15"/>
    <mergeCell ref="D15:E15"/>
    <mergeCell ref="F15:G15"/>
    <mergeCell ref="H15:I15"/>
    <mergeCell ref="J15:K15"/>
    <mergeCell ref="F3:G3"/>
    <mergeCell ref="H3:I3"/>
    <mergeCell ref="J3:K3"/>
    <mergeCell ref="L3:M3"/>
    <mergeCell ref="R3:S3"/>
    <mergeCell ref="B3:C3"/>
    <mergeCell ref="D3:E3"/>
    <mergeCell ref="L15:M15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90" zoomScaleNormal="90" workbookViewId="0">
      <selection activeCell="X29" sqref="X29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6.85546875" customWidth="1"/>
    <col min="5" max="5" width="7.7109375" customWidth="1"/>
    <col min="6" max="6" width="7.42578125" customWidth="1"/>
    <col min="7" max="7" width="5.7109375" customWidth="1"/>
    <col min="8" max="8" width="7.28515625" customWidth="1"/>
    <col min="9" max="9" width="7" customWidth="1"/>
    <col min="10" max="10" width="9.570312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32</v>
      </c>
    </row>
    <row r="2" spans="1:19" ht="13.5" thickBot="1" x14ac:dyDescent="0.25">
      <c r="A2" s="87" t="s">
        <v>20</v>
      </c>
    </row>
    <row r="3" spans="1:19" ht="13.5" thickBot="1" x14ac:dyDescent="0.25">
      <c r="A3" s="54">
        <v>2015</v>
      </c>
      <c r="B3" s="101" t="s">
        <v>0</v>
      </c>
      <c r="C3" s="102"/>
      <c r="D3" s="101" t="s">
        <v>1</v>
      </c>
      <c r="E3" s="102"/>
      <c r="F3" s="101" t="s">
        <v>2</v>
      </c>
      <c r="G3" s="102"/>
      <c r="H3" s="101" t="s">
        <v>3</v>
      </c>
      <c r="I3" s="102"/>
      <c r="J3" s="101" t="s">
        <v>4</v>
      </c>
      <c r="K3" s="102"/>
      <c r="L3" s="101" t="s">
        <v>5</v>
      </c>
      <c r="M3" s="102"/>
      <c r="N3" s="101" t="s">
        <v>6</v>
      </c>
      <c r="O3" s="102"/>
      <c r="P3" s="101" t="s">
        <v>7</v>
      </c>
      <c r="Q3" s="102"/>
      <c r="R3" s="101" t="s">
        <v>8</v>
      </c>
      <c r="S3" s="102"/>
    </row>
    <row r="4" spans="1:19" ht="13.5" thickBot="1" x14ac:dyDescent="0.25">
      <c r="A4" s="55"/>
      <c r="B4" s="30" t="s">
        <v>18</v>
      </c>
      <c r="C4" s="56" t="s">
        <v>10</v>
      </c>
      <c r="D4" s="30" t="s">
        <v>18</v>
      </c>
      <c r="E4" s="30" t="s">
        <v>10</v>
      </c>
      <c r="F4" s="30" t="s">
        <v>18</v>
      </c>
      <c r="G4" s="30" t="s">
        <v>10</v>
      </c>
      <c r="H4" s="30" t="s">
        <v>18</v>
      </c>
      <c r="I4" s="30" t="s">
        <v>10</v>
      </c>
      <c r="J4" s="30" t="s">
        <v>18</v>
      </c>
      <c r="K4" s="56" t="s">
        <v>10</v>
      </c>
      <c r="L4" s="57" t="s">
        <v>18</v>
      </c>
      <c r="M4" s="30" t="s">
        <v>10</v>
      </c>
      <c r="N4" s="55" t="s">
        <v>18</v>
      </c>
      <c r="O4" s="56" t="s">
        <v>10</v>
      </c>
      <c r="P4" s="58" t="s">
        <v>18</v>
      </c>
      <c r="Q4" s="56" t="s">
        <v>10</v>
      </c>
      <c r="R4" s="58" t="s">
        <v>18</v>
      </c>
      <c r="S4" s="56" t="s">
        <v>10</v>
      </c>
    </row>
    <row r="5" spans="1:19" ht="13.5" thickBot="1" x14ac:dyDescent="0.25">
      <c r="A5" s="59" t="s">
        <v>11</v>
      </c>
      <c r="B5" s="40">
        <f t="shared" ref="B5:B11" si="0">D5+F5+H5+J5+L5+N5+P5+R5</f>
        <v>155</v>
      </c>
      <c r="C5" s="60">
        <f>B5/B11</f>
        <v>3.5548828035411218E-3</v>
      </c>
      <c r="D5" s="41">
        <v>2</v>
      </c>
      <c r="E5" s="60">
        <f>D5/D11</f>
        <v>8.4388185654008432E-3</v>
      </c>
      <c r="F5" s="41">
        <v>7</v>
      </c>
      <c r="G5" s="60">
        <f>F5/F11</f>
        <v>1.7934921854983346E-3</v>
      </c>
      <c r="H5" s="41">
        <v>8</v>
      </c>
      <c r="I5" s="60">
        <f>H5/H11</f>
        <v>1.2254901960784314E-3</v>
      </c>
      <c r="J5" s="41">
        <v>37</v>
      </c>
      <c r="K5" s="60">
        <f>J5/$J$23</f>
        <v>3.4032376747608535E-3</v>
      </c>
      <c r="L5" s="41">
        <v>36</v>
      </c>
      <c r="M5" s="60">
        <f>L5/L11</f>
        <v>4.2588430143144446E-3</v>
      </c>
      <c r="N5" s="41">
        <v>43</v>
      </c>
      <c r="O5" s="60">
        <f>N5/N11</f>
        <v>4.3259557344064387E-3</v>
      </c>
      <c r="P5" s="41">
        <v>21</v>
      </c>
      <c r="Q5" s="60">
        <f>P5/P11</f>
        <v>5.5643879173290934E-3</v>
      </c>
      <c r="R5" s="41">
        <v>1</v>
      </c>
      <c r="S5" s="60">
        <f>R5/R11</f>
        <v>5.208333333333333E-3</v>
      </c>
    </row>
    <row r="6" spans="1:19" ht="13.5" thickBot="1" x14ac:dyDescent="0.25">
      <c r="A6" s="61" t="s">
        <v>12</v>
      </c>
      <c r="B6" s="62">
        <f t="shared" si="0"/>
        <v>9784</v>
      </c>
      <c r="C6" s="63">
        <f>B6/B11</f>
        <v>0.22439337645062152</v>
      </c>
      <c r="D6" s="41">
        <v>33</v>
      </c>
      <c r="E6" s="63">
        <f>D6/D11</f>
        <v>0.13924050632911392</v>
      </c>
      <c r="F6" s="41">
        <v>258</v>
      </c>
      <c r="G6" s="63">
        <f>F6/F11</f>
        <v>6.610299769408147E-2</v>
      </c>
      <c r="H6" s="41">
        <v>597</v>
      </c>
      <c r="I6" s="63">
        <f>H6/H11</f>
        <v>9.1452205882352935E-2</v>
      </c>
      <c r="J6" s="41">
        <v>1764</v>
      </c>
      <c r="K6" s="60">
        <f t="shared" ref="K6:K9" si="1">J6/$J$23</f>
        <v>0.16225165562913907</v>
      </c>
      <c r="L6" s="41">
        <v>2180</v>
      </c>
      <c r="M6" s="63">
        <f>L6/L11</f>
        <v>0.25789660475570803</v>
      </c>
      <c r="N6" s="41">
        <v>3175</v>
      </c>
      <c r="O6" s="63">
        <f>N6/N11</f>
        <v>0.31941649899396379</v>
      </c>
      <c r="P6" s="41">
        <v>1675</v>
      </c>
      <c r="Q6" s="63">
        <f>P6/P11</f>
        <v>0.44382617912029676</v>
      </c>
      <c r="R6" s="41">
        <v>102</v>
      </c>
      <c r="S6" s="63">
        <f>R6/R11</f>
        <v>0.53125</v>
      </c>
    </row>
    <row r="7" spans="1:19" ht="13.5" thickBot="1" x14ac:dyDescent="0.25">
      <c r="A7" s="29" t="s">
        <v>13</v>
      </c>
      <c r="B7" s="62">
        <f t="shared" si="0"/>
        <v>17542</v>
      </c>
      <c r="C7" s="63">
        <f>B7/B11</f>
        <v>0.40232099444979585</v>
      </c>
      <c r="D7" s="41">
        <v>157</v>
      </c>
      <c r="E7" s="63">
        <f>D7/D11</f>
        <v>0.66244725738396626</v>
      </c>
      <c r="F7" s="41">
        <v>1419</v>
      </c>
      <c r="G7" s="63">
        <f>F7/F11</f>
        <v>0.36356648731744812</v>
      </c>
      <c r="H7" s="41">
        <v>1795</v>
      </c>
      <c r="I7" s="63">
        <f>H7/H11</f>
        <v>0.27496936274509803</v>
      </c>
      <c r="J7" s="41">
        <v>4298</v>
      </c>
      <c r="K7" s="60">
        <f t="shared" si="1"/>
        <v>0.39532744665194997</v>
      </c>
      <c r="L7" s="41">
        <v>4012</v>
      </c>
      <c r="M7" s="63">
        <f>L7/L11</f>
        <v>0.47462439370637644</v>
      </c>
      <c r="N7" s="41">
        <v>4450</v>
      </c>
      <c r="O7" s="63">
        <f>N7/N11</f>
        <v>0.4476861167002012</v>
      </c>
      <c r="P7" s="41">
        <v>1351</v>
      </c>
      <c r="Q7" s="63">
        <f>P7/P11</f>
        <v>0.35797562268150501</v>
      </c>
      <c r="R7" s="41">
        <v>60</v>
      </c>
      <c r="S7" s="63">
        <f>R7/R11</f>
        <v>0.3125</v>
      </c>
    </row>
    <row r="8" spans="1:19" ht="13.5" thickBot="1" x14ac:dyDescent="0.25">
      <c r="A8" s="61" t="s">
        <v>14</v>
      </c>
      <c r="B8" s="62">
        <f t="shared" si="0"/>
        <v>4687</v>
      </c>
      <c r="C8" s="63">
        <f>B8/B11</f>
        <v>0.10749506903353057</v>
      </c>
      <c r="D8" s="41">
        <v>45</v>
      </c>
      <c r="E8" s="63">
        <f>D8/D11</f>
        <v>0.189873417721519</v>
      </c>
      <c r="F8" s="41">
        <v>654</v>
      </c>
      <c r="G8" s="63">
        <f>F8/F11</f>
        <v>0.16756341275941583</v>
      </c>
      <c r="H8" s="41">
        <v>643</v>
      </c>
      <c r="I8" s="63">
        <f>H8/H11</f>
        <v>9.8498774509803919E-2</v>
      </c>
      <c r="J8" s="41">
        <v>1172</v>
      </c>
      <c r="K8" s="60">
        <f t="shared" si="1"/>
        <v>0.10779985283296542</v>
      </c>
      <c r="L8" s="41">
        <v>890</v>
      </c>
      <c r="M8" s="63">
        <f>L8/L11</f>
        <v>0.10528806340944044</v>
      </c>
      <c r="N8" s="41">
        <v>992</v>
      </c>
      <c r="O8" s="63">
        <f>N8/N11</f>
        <v>9.9798792756539231E-2</v>
      </c>
      <c r="P8" s="41">
        <v>282</v>
      </c>
      <c r="Q8" s="63">
        <f>P8/P11</f>
        <v>7.472178060413355E-2</v>
      </c>
      <c r="R8" s="41">
        <v>9</v>
      </c>
      <c r="S8" s="63">
        <f>R8/R11</f>
        <v>4.6875E-2</v>
      </c>
    </row>
    <row r="9" spans="1:19" ht="13.5" thickBot="1" x14ac:dyDescent="0.25">
      <c r="A9" s="29" t="s">
        <v>15</v>
      </c>
      <c r="B9" s="64">
        <f t="shared" si="0"/>
        <v>11434</v>
      </c>
      <c r="C9" s="65">
        <f>B9/B11</f>
        <v>0.2622356772625109</v>
      </c>
      <c r="D9" s="41">
        <v>0</v>
      </c>
      <c r="E9" s="65">
        <f>D9/D11</f>
        <v>0</v>
      </c>
      <c r="F9" s="41">
        <v>1565</v>
      </c>
      <c r="G9" s="65">
        <f>F9/F11</f>
        <v>0.40097361004355625</v>
      </c>
      <c r="H9" s="41">
        <v>3485</v>
      </c>
      <c r="I9" s="65">
        <f>H9/H11</f>
        <v>0.53385416666666663</v>
      </c>
      <c r="J9" s="41">
        <v>3304</v>
      </c>
      <c r="K9" s="60">
        <f t="shared" si="1"/>
        <v>0.30389992641648272</v>
      </c>
      <c r="L9" s="41">
        <v>1335</v>
      </c>
      <c r="M9" s="65">
        <f>L9/L11</f>
        <v>0.15793209511416065</v>
      </c>
      <c r="N9" s="41">
        <v>1280</v>
      </c>
      <c r="O9" s="65">
        <f>N9/N11</f>
        <v>0.12877263581488935</v>
      </c>
      <c r="P9" s="41">
        <v>445</v>
      </c>
      <c r="Q9" s="65">
        <f>P9/P11</f>
        <v>0.11791202967673556</v>
      </c>
      <c r="R9" s="41">
        <v>20</v>
      </c>
      <c r="S9" s="65">
        <f>R9/R11</f>
        <v>0.10416666666666667</v>
      </c>
    </row>
    <row r="10" spans="1:19" x14ac:dyDescent="0.2">
      <c r="A10" s="59"/>
      <c r="B10" s="66">
        <f t="shared" si="0"/>
        <v>0</v>
      </c>
      <c r="C10" s="67"/>
      <c r="D10" s="68"/>
      <c r="E10" s="69"/>
      <c r="F10" s="68"/>
      <c r="G10" s="69"/>
      <c r="H10" s="70"/>
      <c r="I10" s="67"/>
      <c r="J10" s="68"/>
      <c r="K10" s="67"/>
      <c r="L10" s="50"/>
      <c r="M10" s="67"/>
      <c r="N10" s="70"/>
      <c r="O10" s="67"/>
      <c r="P10" s="50"/>
      <c r="Q10" s="67"/>
      <c r="R10" s="70"/>
      <c r="S10" s="67"/>
    </row>
    <row r="11" spans="1:19" ht="13.5" thickBot="1" x14ac:dyDescent="0.25">
      <c r="A11" s="29" t="s">
        <v>16</v>
      </c>
      <c r="B11" s="64">
        <f t="shared" si="0"/>
        <v>43602</v>
      </c>
      <c r="C11" s="67">
        <f t="shared" ref="C11" si="2">SUM(C5:C9)</f>
        <v>1</v>
      </c>
      <c r="D11" s="71">
        <f>SUM(D5:D10)</f>
        <v>237</v>
      </c>
      <c r="E11" s="67">
        <f t="shared" ref="E11:J11" si="3">SUM(E5:E9)</f>
        <v>1</v>
      </c>
      <c r="F11" s="71">
        <f t="shared" si="3"/>
        <v>3903</v>
      </c>
      <c r="G11" s="67">
        <f t="shared" si="3"/>
        <v>1</v>
      </c>
      <c r="H11" s="50">
        <f t="shared" si="3"/>
        <v>6528</v>
      </c>
      <c r="I11" s="67">
        <f t="shared" si="3"/>
        <v>1</v>
      </c>
      <c r="J11" s="71">
        <f t="shared" si="3"/>
        <v>10575</v>
      </c>
      <c r="K11" s="67">
        <f>SUM(K5:K9)</f>
        <v>0.97268211920529812</v>
      </c>
      <c r="L11" s="50">
        <f t="shared" ref="L11:S11" si="4">SUM(L5:L9)</f>
        <v>8453</v>
      </c>
      <c r="M11" s="67">
        <f t="shared" si="4"/>
        <v>0.99999999999999989</v>
      </c>
      <c r="N11" s="50">
        <f t="shared" si="4"/>
        <v>9940</v>
      </c>
      <c r="O11" s="67">
        <f t="shared" si="4"/>
        <v>1</v>
      </c>
      <c r="P11" s="50">
        <f t="shared" si="4"/>
        <v>3774</v>
      </c>
      <c r="Q11" s="67">
        <f t="shared" si="4"/>
        <v>1</v>
      </c>
      <c r="R11" s="50">
        <f t="shared" si="4"/>
        <v>192</v>
      </c>
      <c r="S11" s="67">
        <f t="shared" si="4"/>
        <v>1</v>
      </c>
    </row>
    <row r="12" spans="1:19" ht="13.5" thickBot="1" x14ac:dyDescent="0.25">
      <c r="A12" s="31" t="s">
        <v>17</v>
      </c>
      <c r="B12" s="32">
        <f>B11/$B$23</f>
        <v>1.0727254834424051</v>
      </c>
      <c r="C12" s="32"/>
      <c r="D12" s="32">
        <f>D11/$B$23</f>
        <v>5.8308320621955423E-3</v>
      </c>
      <c r="E12" s="32"/>
      <c r="F12" s="32">
        <f>F11/$B$23</f>
        <v>9.6024209024258234E-2</v>
      </c>
      <c r="G12" s="32"/>
      <c r="H12" s="32">
        <f>H11/$B$23</f>
        <v>0.16060620971313291</v>
      </c>
      <c r="I12" s="32"/>
      <c r="J12" s="32">
        <f>J11/$B$23</f>
        <v>0.26017320277518086</v>
      </c>
      <c r="K12" s="32"/>
      <c r="L12" s="33">
        <f>L11/$B$23</f>
        <v>0.20796634355164101</v>
      </c>
      <c r="M12" s="32"/>
      <c r="N12" s="33">
        <f>N11/$B$23</f>
        <v>0.24455050927520544</v>
      </c>
      <c r="O12" s="32"/>
      <c r="P12" s="33">
        <f>P11/$B$23</f>
        <v>9.285046499040496E-2</v>
      </c>
      <c r="Q12" s="32"/>
      <c r="R12" s="33">
        <f>R11/$B$23</f>
        <v>4.7237120503862617E-3</v>
      </c>
      <c r="S12" s="3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91">
        <v>2016</v>
      </c>
      <c r="B15" s="105" t="s">
        <v>0</v>
      </c>
      <c r="C15" s="106"/>
      <c r="D15" s="103" t="s">
        <v>1</v>
      </c>
      <c r="E15" s="104"/>
      <c r="F15" s="105" t="s">
        <v>2</v>
      </c>
      <c r="G15" s="106"/>
      <c r="H15" s="103" t="s">
        <v>3</v>
      </c>
      <c r="I15" s="104"/>
      <c r="J15" s="103" t="s">
        <v>4</v>
      </c>
      <c r="K15" s="104"/>
      <c r="L15" s="103" t="s">
        <v>5</v>
      </c>
      <c r="M15" s="104"/>
      <c r="N15" s="103" t="s">
        <v>6</v>
      </c>
      <c r="O15" s="104"/>
      <c r="P15" s="103" t="s">
        <v>7</v>
      </c>
      <c r="Q15" s="104"/>
      <c r="R15" s="103" t="s">
        <v>8</v>
      </c>
      <c r="S15" s="104"/>
    </row>
    <row r="16" spans="1:19" ht="13.5" thickBot="1" x14ac:dyDescent="0.25">
      <c r="A16" s="35"/>
      <c r="B16" s="36" t="s">
        <v>9</v>
      </c>
      <c r="C16" s="37" t="s">
        <v>10</v>
      </c>
      <c r="D16" s="37" t="s">
        <v>9</v>
      </c>
      <c r="E16" s="38" t="s">
        <v>10</v>
      </c>
      <c r="F16" s="37" t="s">
        <v>9</v>
      </c>
      <c r="G16" s="38" t="s">
        <v>10</v>
      </c>
      <c r="H16" s="37" t="s">
        <v>9</v>
      </c>
      <c r="I16" s="38" t="s">
        <v>10</v>
      </c>
      <c r="J16" s="37" t="s">
        <v>9</v>
      </c>
      <c r="K16" s="38" t="s">
        <v>10</v>
      </c>
      <c r="L16" s="37" t="s">
        <v>9</v>
      </c>
      <c r="M16" s="38" t="s">
        <v>10</v>
      </c>
      <c r="N16" s="37" t="s">
        <v>9</v>
      </c>
      <c r="O16" s="38" t="s">
        <v>10</v>
      </c>
      <c r="P16" s="37" t="s">
        <v>9</v>
      </c>
      <c r="Q16" s="38" t="s">
        <v>10</v>
      </c>
      <c r="R16" s="37" t="s">
        <v>9</v>
      </c>
      <c r="S16" s="38" t="s">
        <v>10</v>
      </c>
    </row>
    <row r="17" spans="1:19" ht="15.75" thickBot="1" x14ac:dyDescent="0.3">
      <c r="A17" s="39" t="s">
        <v>11</v>
      </c>
      <c r="B17" s="40">
        <f>D17+F17+H17+J17+L17+N17+P17+R17</f>
        <v>147</v>
      </c>
      <c r="C17" s="15">
        <f>B17/$B$11</f>
        <v>3.3714049814228706E-3</v>
      </c>
      <c r="D17" s="96">
        <v>2</v>
      </c>
      <c r="E17" s="15">
        <f>D17/$D$11</f>
        <v>8.4388185654008432E-3</v>
      </c>
      <c r="F17" s="41">
        <v>6</v>
      </c>
      <c r="G17" s="15">
        <f>F17/$F$11</f>
        <v>1.5372790161414297E-3</v>
      </c>
      <c r="H17" s="96">
        <v>19</v>
      </c>
      <c r="I17" s="15">
        <f>H17/$H$11</f>
        <v>2.9105392156862746E-3</v>
      </c>
      <c r="J17" s="96">
        <v>35</v>
      </c>
      <c r="K17" s="15">
        <f>J17/$J$11</f>
        <v>3.3096926713947991E-3</v>
      </c>
      <c r="L17" s="96">
        <v>44</v>
      </c>
      <c r="M17" s="15">
        <f>L17/$L$11</f>
        <v>5.2052525730509882E-3</v>
      </c>
      <c r="N17" s="96">
        <v>26</v>
      </c>
      <c r="O17" s="15">
        <f>N17/$N$11</f>
        <v>2.6156941649899397E-3</v>
      </c>
      <c r="P17" s="96">
        <v>14</v>
      </c>
      <c r="Q17" s="15">
        <f>P17/$P$11</f>
        <v>3.7095919448860626E-3</v>
      </c>
      <c r="R17" s="96">
        <v>1</v>
      </c>
      <c r="S17" s="15">
        <f>R17/$R$11</f>
        <v>5.208333333333333E-3</v>
      </c>
    </row>
    <row r="18" spans="1:19" ht="15.75" thickBot="1" x14ac:dyDescent="0.3">
      <c r="A18" s="42" t="s">
        <v>12</v>
      </c>
      <c r="B18" s="40">
        <f>D18+F18+H18+J18+L18+N18+P18+R18</f>
        <v>9503</v>
      </c>
      <c r="C18" s="16">
        <f>B18/$B$11</f>
        <v>0.21794871794871795</v>
      </c>
      <c r="D18" s="96">
        <v>52</v>
      </c>
      <c r="E18" s="16">
        <f>D18/$D$11</f>
        <v>0.21940928270042195</v>
      </c>
      <c r="F18" s="41">
        <v>394</v>
      </c>
      <c r="G18" s="16">
        <f>F18/$F$11</f>
        <v>0.10094798872662054</v>
      </c>
      <c r="H18" s="96">
        <v>645</v>
      </c>
      <c r="I18" s="16">
        <f>H18/$H$11</f>
        <v>9.8805147058823525E-2</v>
      </c>
      <c r="J18" s="96">
        <v>2047</v>
      </c>
      <c r="K18" s="16">
        <f>J18/$J$11</f>
        <v>0.19356973995271867</v>
      </c>
      <c r="L18" s="96">
        <v>2063</v>
      </c>
      <c r="M18" s="16">
        <f>L18/$L$11</f>
        <v>0.24405536495918609</v>
      </c>
      <c r="N18" s="96">
        <v>2702</v>
      </c>
      <c r="O18" s="16">
        <f>N18/$N$11</f>
        <v>0.27183098591549298</v>
      </c>
      <c r="P18" s="96">
        <v>1498</v>
      </c>
      <c r="Q18" s="16">
        <f>P18/$P$11</f>
        <v>0.3969263381028087</v>
      </c>
      <c r="R18" s="96">
        <v>102</v>
      </c>
      <c r="S18" s="16">
        <f>R18/$R$11</f>
        <v>0.53125</v>
      </c>
    </row>
    <row r="19" spans="1:19" ht="15.75" thickBot="1" x14ac:dyDescent="0.3">
      <c r="A19" s="43" t="s">
        <v>13</v>
      </c>
      <c r="B19" s="40">
        <f>D19+F19+H19+J19+L19+N19+P19+R19</f>
        <v>16294</v>
      </c>
      <c r="C19" s="16">
        <f>B19/$B$11</f>
        <v>0.37369845419934866</v>
      </c>
      <c r="D19" s="96">
        <v>124</v>
      </c>
      <c r="E19" s="16">
        <f>D19/$D$11</f>
        <v>0.52320675105485237</v>
      </c>
      <c r="F19" s="41">
        <v>1073</v>
      </c>
      <c r="G19" s="16">
        <f>F19/$F$11</f>
        <v>0.27491673071995898</v>
      </c>
      <c r="H19" s="96">
        <v>1604</v>
      </c>
      <c r="I19" s="16">
        <f>H19/$H$11</f>
        <v>0.24571078431372548</v>
      </c>
      <c r="J19" s="96">
        <v>4253</v>
      </c>
      <c r="K19" s="16">
        <f>J19/$J$11</f>
        <v>0.40217494089834516</v>
      </c>
      <c r="L19" s="96">
        <v>3804</v>
      </c>
      <c r="M19" s="16">
        <f>L19/$L$11</f>
        <v>0.45001774517922633</v>
      </c>
      <c r="N19" s="96">
        <v>4013</v>
      </c>
      <c r="O19" s="16">
        <f>N19/$N$11</f>
        <v>0.40372233400402413</v>
      </c>
      <c r="P19" s="96">
        <v>1349</v>
      </c>
      <c r="Q19" s="16">
        <f>P19/$P$11</f>
        <v>0.35744568097509272</v>
      </c>
      <c r="R19" s="96">
        <v>74</v>
      </c>
      <c r="S19" s="16">
        <f>R19/$R$11</f>
        <v>0.38541666666666669</v>
      </c>
    </row>
    <row r="20" spans="1:19" ht="15.75" thickBot="1" x14ac:dyDescent="0.3">
      <c r="A20" s="42" t="s">
        <v>14</v>
      </c>
      <c r="B20" s="40">
        <f>D20+F20+H20+J20+L20+N20+P20+R20</f>
        <v>4002</v>
      </c>
      <c r="C20" s="16">
        <f>B20/$B$11</f>
        <v>9.1784780514655287E-2</v>
      </c>
      <c r="D20" s="96">
        <v>32</v>
      </c>
      <c r="E20" s="16">
        <f>D20/$D$11</f>
        <v>0.13502109704641349</v>
      </c>
      <c r="F20" s="41">
        <v>471</v>
      </c>
      <c r="G20" s="16">
        <f>F20/$F$11</f>
        <v>0.12067640276710223</v>
      </c>
      <c r="H20" s="96">
        <v>540</v>
      </c>
      <c r="I20" s="16">
        <f>H20/$H$11</f>
        <v>8.2720588235294115E-2</v>
      </c>
      <c r="J20" s="96">
        <v>1057</v>
      </c>
      <c r="K20" s="16">
        <f>J20/$J$11</f>
        <v>9.9952718676122931E-2</v>
      </c>
      <c r="L20" s="96">
        <v>763</v>
      </c>
      <c r="M20" s="16">
        <f>L20/$L$11</f>
        <v>9.0263811664497817E-2</v>
      </c>
      <c r="N20" s="96">
        <v>837</v>
      </c>
      <c r="O20" s="16">
        <f>N20/$N$11</f>
        <v>8.4205231388329985E-2</v>
      </c>
      <c r="P20" s="96">
        <v>289</v>
      </c>
      <c r="Q20" s="16">
        <f>P20/$P$11</f>
        <v>7.6576576576576572E-2</v>
      </c>
      <c r="R20" s="96">
        <v>13</v>
      </c>
      <c r="S20" s="16">
        <f>R20/$R$11</f>
        <v>6.7708333333333329E-2</v>
      </c>
    </row>
    <row r="21" spans="1:19" ht="13.5" thickBot="1" x14ac:dyDescent="0.25">
      <c r="A21" s="43" t="s">
        <v>15</v>
      </c>
      <c r="B21" s="40">
        <f>D21+F21+H21+J21+L21+N21+P21+R21</f>
        <v>10700</v>
      </c>
      <c r="C21" s="17">
        <f>B21/$B$11</f>
        <v>0.24540158708316132</v>
      </c>
      <c r="D21" s="97">
        <v>0</v>
      </c>
      <c r="E21" s="17">
        <f>D21/$D$11</f>
        <v>0</v>
      </c>
      <c r="F21" s="41">
        <v>1125</v>
      </c>
      <c r="G21" s="17">
        <f>F21/$F$11</f>
        <v>0.28823981552651806</v>
      </c>
      <c r="H21" s="97">
        <f>547+2395</f>
        <v>2942</v>
      </c>
      <c r="I21" s="17">
        <f>H21/$H$11</f>
        <v>0.45067401960784315</v>
      </c>
      <c r="J21" s="97">
        <f>963+2517</f>
        <v>3480</v>
      </c>
      <c r="K21" s="17">
        <f>J21/$J$11</f>
        <v>0.32907801418439714</v>
      </c>
      <c r="L21" s="97">
        <f>615+759</f>
        <v>1374</v>
      </c>
      <c r="M21" s="17">
        <f>L21/$L$11</f>
        <v>0.16254584171300129</v>
      </c>
      <c r="N21" s="97">
        <f>581+701</f>
        <v>1282</v>
      </c>
      <c r="O21" s="17">
        <f>N21/$N$11</f>
        <v>0.12897384305835011</v>
      </c>
      <c r="P21" s="97">
        <f>183+283</f>
        <v>466</v>
      </c>
      <c r="Q21" s="17">
        <f>P21/$P$11</f>
        <v>0.12347641759406465</v>
      </c>
      <c r="R21" s="97">
        <f>13+18</f>
        <v>31</v>
      </c>
      <c r="S21" s="17">
        <f>R21/$R$11</f>
        <v>0.16145833333333334</v>
      </c>
    </row>
    <row r="22" spans="1:19" x14ac:dyDescent="0.2">
      <c r="A22" s="39"/>
      <c r="B22" s="44"/>
      <c r="C22" s="45"/>
      <c r="D22" s="68"/>
      <c r="E22" s="46"/>
      <c r="F22" s="25"/>
      <c r="G22" s="46"/>
      <c r="H22" s="25"/>
      <c r="I22" s="45"/>
      <c r="J22" s="25"/>
      <c r="K22" s="45"/>
      <c r="L22" s="26"/>
      <c r="M22" s="45"/>
      <c r="N22" s="25"/>
      <c r="O22" s="45"/>
      <c r="P22" s="47"/>
      <c r="Q22" s="45"/>
      <c r="R22" s="25"/>
      <c r="S22" s="45"/>
    </row>
    <row r="23" spans="1:19" x14ac:dyDescent="0.2">
      <c r="A23" s="43" t="s">
        <v>16</v>
      </c>
      <c r="B23" s="48">
        <f>SUM(B17:B21)</f>
        <v>40646</v>
      </c>
      <c r="C23" s="45">
        <f>B23/$B$11</f>
        <v>0.93220494472730608</v>
      </c>
      <c r="D23" s="49">
        <f>SUM(D17:D21)</f>
        <v>210</v>
      </c>
      <c r="E23" s="45">
        <f>D23/$D$11</f>
        <v>0.88607594936708856</v>
      </c>
      <c r="F23" s="50">
        <f>SUM(F17:F21)</f>
        <v>3069</v>
      </c>
      <c r="G23" s="45">
        <f>F23/$F$11</f>
        <v>0.78631821675634128</v>
      </c>
      <c r="H23" s="50">
        <f>SUM(H17:H21)</f>
        <v>5750</v>
      </c>
      <c r="I23" s="45">
        <f>H23/$H$11</f>
        <v>0.88082107843137258</v>
      </c>
      <c r="J23" s="47">
        <f>SUM(J17:J21)</f>
        <v>10872</v>
      </c>
      <c r="K23" s="45">
        <f>J23/$J$11</f>
        <v>1.0280851063829788</v>
      </c>
      <c r="L23" s="47">
        <f>SUM(L17:L21)</f>
        <v>8048</v>
      </c>
      <c r="M23" s="45">
        <f>L23/$L$11</f>
        <v>0.95208801608896254</v>
      </c>
      <c r="N23" s="47">
        <f>SUM(N17:N21)</f>
        <v>8860</v>
      </c>
      <c r="O23" s="45">
        <f>N23/$N$11</f>
        <v>0.89134808853118708</v>
      </c>
      <c r="P23" s="47">
        <f>SUM(P17:P21)</f>
        <v>3616</v>
      </c>
      <c r="Q23" s="45">
        <f>P23/$P$11</f>
        <v>0.95813460519342875</v>
      </c>
      <c r="R23" s="47">
        <f>SUM(R17:R21)</f>
        <v>221</v>
      </c>
      <c r="S23" s="45">
        <f>R23/$R$11</f>
        <v>1.1510416666666667</v>
      </c>
    </row>
    <row r="24" spans="1:19" ht="13.5" thickBot="1" x14ac:dyDescent="0.25">
      <c r="A24" s="51" t="s">
        <v>17</v>
      </c>
      <c r="B24" s="52">
        <f>B23/$B$11</f>
        <v>0.93220494472730608</v>
      </c>
      <c r="C24" s="52"/>
      <c r="D24" s="27">
        <f>D23/$B$11</f>
        <v>4.8162928306041009E-3</v>
      </c>
      <c r="E24" s="52"/>
      <c r="F24" s="28">
        <f>F23/$B$11</f>
        <v>7.0386679510114208E-2</v>
      </c>
      <c r="G24" s="52"/>
      <c r="H24" s="28">
        <f>H23/$B$11</f>
        <v>0.13187468464749325</v>
      </c>
      <c r="I24" s="52"/>
      <c r="J24" s="28">
        <f>J23/$B$11</f>
        <v>0.24934636025870374</v>
      </c>
      <c r="K24" s="52"/>
      <c r="L24" s="28">
        <f>L23/$B$11</f>
        <v>0.18457868905096098</v>
      </c>
      <c r="M24" s="52"/>
      <c r="N24" s="28">
        <f>N23/$B$11</f>
        <v>0.2032016879959635</v>
      </c>
      <c r="O24" s="52"/>
      <c r="P24" s="28">
        <f>P23/$B$11</f>
        <v>8.2931975597449664E-2</v>
      </c>
      <c r="Q24" s="52"/>
      <c r="R24" s="28">
        <f>R23/$B$11</f>
        <v>5.0685748360166961E-3</v>
      </c>
      <c r="S24" s="5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</sheetData>
  <mergeCells count="18">
    <mergeCell ref="B15:C15"/>
    <mergeCell ref="B3:C3"/>
    <mergeCell ref="D3:E3"/>
    <mergeCell ref="F3:G3"/>
    <mergeCell ref="H3:I3"/>
    <mergeCell ref="D15:E15"/>
    <mergeCell ref="F15:G15"/>
    <mergeCell ref="H15:I15"/>
    <mergeCell ref="N3:O3"/>
    <mergeCell ref="P3:Q3"/>
    <mergeCell ref="R3:S3"/>
    <mergeCell ref="J3:K3"/>
    <mergeCell ref="L3:M3"/>
    <mergeCell ref="P15:Q15"/>
    <mergeCell ref="J15:K15"/>
    <mergeCell ref="L15:M15"/>
    <mergeCell ref="N15:O15"/>
    <mergeCell ref="R15:S15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W31" sqref="W31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9.570312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425781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21" x14ac:dyDescent="0.2">
      <c r="A1" s="1" t="s">
        <v>33</v>
      </c>
    </row>
    <row r="2" spans="1:21" ht="13.5" thickBot="1" x14ac:dyDescent="0.25">
      <c r="A2" s="87" t="s">
        <v>20</v>
      </c>
    </row>
    <row r="3" spans="1:21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21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21" x14ac:dyDescent="0.2">
      <c r="A5" s="39" t="s">
        <v>11</v>
      </c>
      <c r="B5" s="66">
        <f>D5+F5+H5+J5+L5+N5+P5+R5</f>
        <v>157</v>
      </c>
      <c r="C5" s="15">
        <f>B5/$B$11</f>
        <v>3.5241301907968574E-3</v>
      </c>
      <c r="D5" s="44">
        <v>2</v>
      </c>
      <c r="E5" s="15">
        <f>D5/$D$11</f>
        <v>8.6956521739130436E-3</v>
      </c>
      <c r="F5" s="75">
        <v>7</v>
      </c>
      <c r="G5" s="15">
        <f>F5/$F$11</f>
        <v>1.8842530282637954E-3</v>
      </c>
      <c r="H5" s="41">
        <v>8</v>
      </c>
      <c r="I5" s="15">
        <f>H5/$H$11</f>
        <v>1.2343774108933806E-3</v>
      </c>
      <c r="J5" s="41">
        <v>37</v>
      </c>
      <c r="K5" s="15">
        <f>J5/$J$11</f>
        <v>3.3670033670033669E-3</v>
      </c>
      <c r="L5" s="41">
        <v>34</v>
      </c>
      <c r="M5" s="15">
        <f>L5/$L$11</f>
        <v>3.8605654592937435E-3</v>
      </c>
      <c r="N5" s="41">
        <v>41</v>
      </c>
      <c r="O5" s="15">
        <f>N5/$N$11</f>
        <v>3.9961013645224168E-3</v>
      </c>
      <c r="P5" s="41">
        <v>27</v>
      </c>
      <c r="Q5" s="15">
        <f>P5/$P$11</f>
        <v>6.9677419354838713E-3</v>
      </c>
      <c r="R5" s="41">
        <v>1</v>
      </c>
      <c r="S5" s="15">
        <f>R5/$R$11</f>
        <v>5.1813471502590676E-3</v>
      </c>
    </row>
    <row r="6" spans="1:21" x14ac:dyDescent="0.2">
      <c r="A6" s="42" t="s">
        <v>12</v>
      </c>
      <c r="B6" s="62">
        <f>D6+F6+H6+J6+L6+N6+P6+R6</f>
        <v>10397</v>
      </c>
      <c r="C6" s="16">
        <f>B6/$B$11</f>
        <v>0.23337822671156006</v>
      </c>
      <c r="D6" s="78">
        <v>41</v>
      </c>
      <c r="E6" s="16">
        <f>D6/$D$11</f>
        <v>0.17826086956521739</v>
      </c>
      <c r="F6" s="73">
        <v>286</v>
      </c>
      <c r="G6" s="76">
        <f>F6/$F$11</f>
        <v>7.6985195154777933E-2</v>
      </c>
      <c r="H6" s="73">
        <v>665</v>
      </c>
      <c r="I6" s="76">
        <f>H6/$H$11</f>
        <v>0.10260762228051226</v>
      </c>
      <c r="J6" s="73">
        <v>1897</v>
      </c>
      <c r="K6" s="76">
        <f>J6/$J$11</f>
        <v>0.17262717262717261</v>
      </c>
      <c r="L6" s="73">
        <v>2320</v>
      </c>
      <c r="M6" s="76">
        <f>L6/$L$11</f>
        <v>0.26342681957533781</v>
      </c>
      <c r="N6" s="73">
        <v>3349</v>
      </c>
      <c r="O6" s="76">
        <f>N6/$N$11</f>
        <v>0.32641325536062377</v>
      </c>
      <c r="P6" s="73">
        <v>1734</v>
      </c>
      <c r="Q6" s="76">
        <f>P6/$P$11</f>
        <v>0.44748387096774195</v>
      </c>
      <c r="R6" s="73">
        <v>105</v>
      </c>
      <c r="S6" s="76">
        <f>R6/$R$11</f>
        <v>0.54404145077720212</v>
      </c>
    </row>
    <row r="7" spans="1:21" x14ac:dyDescent="0.2">
      <c r="A7" s="43" t="s">
        <v>13</v>
      </c>
      <c r="B7" s="48">
        <f>D7+F7+H7+J7+L7+N7+P7+R7</f>
        <v>17787</v>
      </c>
      <c r="C7" s="45">
        <f>B7/$B$11</f>
        <v>0.39925925925925926</v>
      </c>
      <c r="D7" s="49">
        <v>143</v>
      </c>
      <c r="E7" s="45">
        <f>D7/$D$11</f>
        <v>0.62173913043478257</v>
      </c>
      <c r="F7" s="49">
        <v>1341</v>
      </c>
      <c r="G7" s="45">
        <f>F7/$F$11</f>
        <v>0.36096904441453564</v>
      </c>
      <c r="H7" s="49">
        <v>1796</v>
      </c>
      <c r="I7" s="45">
        <f>H7/$H$11</f>
        <v>0.27711772874556395</v>
      </c>
      <c r="J7" s="49">
        <v>4405</v>
      </c>
      <c r="K7" s="45">
        <f>J7/$J$11</f>
        <v>0.40085540085540083</v>
      </c>
      <c r="L7" s="49">
        <v>4145</v>
      </c>
      <c r="M7" s="45">
        <f>L7/$L$11</f>
        <v>0.47064834790507548</v>
      </c>
      <c r="N7" s="49">
        <v>4542</v>
      </c>
      <c r="O7" s="45">
        <f>N7/$N$11</f>
        <v>0.44269005847953219</v>
      </c>
      <c r="P7" s="49">
        <v>1357</v>
      </c>
      <c r="Q7" s="45">
        <f>P7/$P$11</f>
        <v>0.35019354838709676</v>
      </c>
      <c r="R7" s="49">
        <v>58</v>
      </c>
      <c r="S7" s="45">
        <f>R7/$R$11</f>
        <v>0.30051813471502592</v>
      </c>
      <c r="T7" s="86"/>
      <c r="U7" s="3"/>
    </row>
    <row r="8" spans="1:21" x14ac:dyDescent="0.2">
      <c r="A8" s="42" t="s">
        <v>14</v>
      </c>
      <c r="B8" s="62">
        <f>D8+F8+H8+J8+L8+N8+P8+R8</f>
        <v>4976</v>
      </c>
      <c r="C8" s="16">
        <f>B8/$B$11</f>
        <v>0.11169472502805836</v>
      </c>
      <c r="D8" s="79">
        <v>42</v>
      </c>
      <c r="E8" s="16">
        <f>D8/$D$11</f>
        <v>0.18260869565217391</v>
      </c>
      <c r="F8" s="79">
        <v>669</v>
      </c>
      <c r="G8" s="16">
        <f>F8/$F$11</f>
        <v>0.18008075370121129</v>
      </c>
      <c r="H8" s="79">
        <v>686</v>
      </c>
      <c r="I8" s="16">
        <f>H8/$H$11</f>
        <v>0.10584786298410739</v>
      </c>
      <c r="J8" s="79">
        <v>1269</v>
      </c>
      <c r="K8" s="16">
        <f>J8/$J$11</f>
        <v>0.11547911547911548</v>
      </c>
      <c r="L8" s="79">
        <v>971</v>
      </c>
      <c r="M8" s="16">
        <f>L8/$L$11</f>
        <v>0.11025320767571251</v>
      </c>
      <c r="N8" s="79">
        <v>1035</v>
      </c>
      <c r="O8" s="16">
        <f>N8/$N$11</f>
        <v>0.10087719298245613</v>
      </c>
      <c r="P8" s="79">
        <v>296</v>
      </c>
      <c r="Q8" s="16">
        <f>P8/$P$11</f>
        <v>7.6387096774193544E-2</v>
      </c>
      <c r="R8" s="79">
        <v>8</v>
      </c>
      <c r="S8" s="80">
        <f>R8/$R$11</f>
        <v>4.145077720207254E-2</v>
      </c>
    </row>
    <row r="9" spans="1:21" ht="13.5" thickBot="1" x14ac:dyDescent="0.25">
      <c r="A9" s="43" t="s">
        <v>15</v>
      </c>
      <c r="B9" s="77">
        <f>D9+F9+H9+J9+L9+N9+P9+R9</f>
        <v>11233</v>
      </c>
      <c r="C9" s="52">
        <f>B9/$B$11</f>
        <v>0.25214365881032547</v>
      </c>
      <c r="D9" s="73">
        <v>2</v>
      </c>
      <c r="E9" s="52">
        <f>D9/$D$11</f>
        <v>8.6956521739130436E-3</v>
      </c>
      <c r="F9" s="73">
        <v>1412</v>
      </c>
      <c r="G9" s="52">
        <f>F9/$F$11</f>
        <v>0.3800807537012113</v>
      </c>
      <c r="H9" s="73">
        <v>3326</v>
      </c>
      <c r="I9" s="52">
        <f>H9/$H$11</f>
        <v>0.51319240857892301</v>
      </c>
      <c r="J9" s="73">
        <v>3381</v>
      </c>
      <c r="K9" s="52">
        <f>J9/$J$11</f>
        <v>0.30767130767130768</v>
      </c>
      <c r="L9" s="74">
        <v>1337</v>
      </c>
      <c r="M9" s="52">
        <f>L9/$L$11</f>
        <v>0.15181105938458045</v>
      </c>
      <c r="N9" s="73">
        <v>1293</v>
      </c>
      <c r="O9" s="52">
        <f>N9/$N$11</f>
        <v>0.12602339181286551</v>
      </c>
      <c r="P9" s="73">
        <v>461</v>
      </c>
      <c r="Q9" s="52">
        <f>P9/$P$11</f>
        <v>0.11896774193548387</v>
      </c>
      <c r="R9" s="73">
        <v>21</v>
      </c>
      <c r="S9" s="52">
        <f>R9/$R$11</f>
        <v>0.10880829015544041</v>
      </c>
    </row>
    <row r="10" spans="1:21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21" x14ac:dyDescent="0.2">
      <c r="A11" s="43" t="s">
        <v>16</v>
      </c>
      <c r="B11" s="48">
        <f>SUM(B5:B9)</f>
        <v>44550</v>
      </c>
      <c r="C11" s="45">
        <f>B11/$B$11</f>
        <v>1</v>
      </c>
      <c r="D11" s="49">
        <f>SUM(D5:D9)</f>
        <v>230</v>
      </c>
      <c r="E11" s="45">
        <f>D11/$D$11</f>
        <v>1</v>
      </c>
      <c r="F11" s="50">
        <f>SUM(F5:F9)</f>
        <v>3715</v>
      </c>
      <c r="G11" s="45">
        <f>F11/$F$11</f>
        <v>1</v>
      </c>
      <c r="H11" s="50">
        <f>SUM(H5:H9)</f>
        <v>6481</v>
      </c>
      <c r="I11" s="45">
        <f>H11/$H$11</f>
        <v>1</v>
      </c>
      <c r="J11" s="47">
        <f>SUM(J5:J9)</f>
        <v>10989</v>
      </c>
      <c r="K11" s="45">
        <f>J11/$J$11</f>
        <v>1</v>
      </c>
      <c r="L11" s="47">
        <f>SUM(L5:L9)</f>
        <v>8807</v>
      </c>
      <c r="M11" s="45">
        <f>L11/$L$11</f>
        <v>1</v>
      </c>
      <c r="N11" s="47">
        <f>SUM(N5:N9)</f>
        <v>10260</v>
      </c>
      <c r="O11" s="45">
        <f>N11/$N$11</f>
        <v>1</v>
      </c>
      <c r="P11" s="47">
        <f>SUM(P5:P9)</f>
        <v>3875</v>
      </c>
      <c r="Q11" s="45">
        <f>P11/$P$11</f>
        <v>1</v>
      </c>
      <c r="R11" s="47">
        <f>SUM(R5:R9)</f>
        <v>193</v>
      </c>
      <c r="S11" s="45">
        <f>R11/$R$11</f>
        <v>1</v>
      </c>
    </row>
    <row r="12" spans="1:21" ht="13.5" thickBot="1" x14ac:dyDescent="0.25">
      <c r="A12" s="51" t="s">
        <v>17</v>
      </c>
      <c r="B12" s="52">
        <f>B11/$B$11</f>
        <v>1</v>
      </c>
      <c r="C12" s="52"/>
      <c r="D12" s="27">
        <f>D11/$B$11</f>
        <v>5.1627384960718295E-3</v>
      </c>
      <c r="E12" s="52"/>
      <c r="F12" s="28">
        <f>F11/$B$11</f>
        <v>8.3389450056116726E-2</v>
      </c>
      <c r="G12" s="52"/>
      <c r="H12" s="28">
        <f>H11/$B$11</f>
        <v>0.14547699214365881</v>
      </c>
      <c r="I12" s="52"/>
      <c r="J12" s="28">
        <f>J11/$B$11</f>
        <v>0.24666666666666667</v>
      </c>
      <c r="K12" s="52"/>
      <c r="L12" s="28">
        <f>L11/$B$11</f>
        <v>0.19768799102132437</v>
      </c>
      <c r="M12" s="52"/>
      <c r="N12" s="28">
        <f>N11/$B$11</f>
        <v>0.23030303030303031</v>
      </c>
      <c r="O12" s="52"/>
      <c r="P12" s="28">
        <f>P11/$B$11</f>
        <v>8.6980920314253654E-2</v>
      </c>
      <c r="Q12" s="52"/>
      <c r="R12" s="28">
        <f>R11/$B$11</f>
        <v>4.3322109988776659E-3</v>
      </c>
      <c r="S12" s="52"/>
    </row>
    <row r="13" spans="1:21" x14ac:dyDescent="0.2">
      <c r="A13" s="43"/>
      <c r="B13" s="83"/>
      <c r="C13" s="84"/>
      <c r="D13" s="83"/>
      <c r="E13" s="84"/>
      <c r="F13" s="85"/>
      <c r="G13" s="84"/>
      <c r="H13" s="85"/>
      <c r="I13" s="84"/>
      <c r="J13" s="85"/>
      <c r="K13" s="84"/>
      <c r="L13" s="85"/>
      <c r="M13" s="84"/>
      <c r="N13" s="85"/>
      <c r="O13" s="84"/>
      <c r="P13" s="85"/>
      <c r="Q13" s="84"/>
      <c r="R13" s="85"/>
      <c r="S13" s="84"/>
    </row>
    <row r="14" spans="1:21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21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21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146</v>
      </c>
      <c r="C17" s="60">
        <f>B17/B23</f>
        <v>3.4884832266080476E-3</v>
      </c>
      <c r="D17" s="92">
        <v>1</v>
      </c>
      <c r="E17" s="60">
        <f>D17/D23</f>
        <v>5.681818181818182E-3</v>
      </c>
      <c r="F17" s="93">
        <v>7</v>
      </c>
      <c r="G17" s="60">
        <f>F17/F23</f>
        <v>2.4154589371980675E-3</v>
      </c>
      <c r="H17" s="93">
        <v>15</v>
      </c>
      <c r="I17" s="60">
        <f>H17/H23</f>
        <v>2.6469031233456856E-3</v>
      </c>
      <c r="J17" s="93">
        <v>34</v>
      </c>
      <c r="K17" s="60">
        <f>J17/J23</f>
        <v>3.0093821915383252E-3</v>
      </c>
      <c r="L17" s="93">
        <v>45</v>
      </c>
      <c r="M17" s="60">
        <f>L17/L23</f>
        <v>5.2643893308376224E-3</v>
      </c>
      <c r="N17" s="93">
        <v>27</v>
      </c>
      <c r="O17" s="60">
        <f>N17/N23</f>
        <v>2.8963741686333405E-3</v>
      </c>
      <c r="P17" s="93">
        <v>16</v>
      </c>
      <c r="Q17" s="60">
        <f>P17/P23</f>
        <v>4.2906945561812819E-3</v>
      </c>
      <c r="R17" s="93">
        <v>1</v>
      </c>
      <c r="S17" s="60">
        <f>R17/R23</f>
        <v>4.6728971962616819E-3</v>
      </c>
    </row>
    <row r="18" spans="1:19" ht="15" x14ac:dyDescent="0.25">
      <c r="A18" s="61" t="s">
        <v>12</v>
      </c>
      <c r="B18" s="62">
        <f>D18+F18+H18+J18+L18+N18+P18+R18</f>
        <v>10177</v>
      </c>
      <c r="C18" s="63">
        <f>B18/B23</f>
        <v>0.24316639587116506</v>
      </c>
      <c r="D18" s="92">
        <v>52</v>
      </c>
      <c r="E18" s="63">
        <f>D18/D23</f>
        <v>0.29545454545454547</v>
      </c>
      <c r="F18" s="93">
        <v>402</v>
      </c>
      <c r="G18" s="63">
        <f>F18/F23</f>
        <v>0.13871635610766045</v>
      </c>
      <c r="H18" s="93">
        <v>711</v>
      </c>
      <c r="I18" s="63">
        <f>H18/H23</f>
        <v>0.12546320804658551</v>
      </c>
      <c r="J18" s="93">
        <v>2139</v>
      </c>
      <c r="K18" s="63">
        <f>J18/J23</f>
        <v>0.18932554434413171</v>
      </c>
      <c r="L18" s="93">
        <v>2252</v>
      </c>
      <c r="M18" s="63">
        <f>L18/L23</f>
        <v>0.2634534394010295</v>
      </c>
      <c r="N18" s="93">
        <v>2943</v>
      </c>
      <c r="O18" s="63">
        <f>N18/N23</f>
        <v>0.31570478438103411</v>
      </c>
      <c r="P18" s="93">
        <v>1584</v>
      </c>
      <c r="Q18" s="63">
        <f>P18/P23</f>
        <v>0.4247787610619469</v>
      </c>
      <c r="R18" s="93">
        <v>94</v>
      </c>
      <c r="S18" s="63">
        <f>R18/R23</f>
        <v>0.43925233644859812</v>
      </c>
    </row>
    <row r="19" spans="1:19" ht="15" x14ac:dyDescent="0.25">
      <c r="A19" s="29" t="s">
        <v>13</v>
      </c>
      <c r="B19" s="62">
        <f>D19+F19+H19+J19+L19+N19+P19+R19</f>
        <v>16826</v>
      </c>
      <c r="C19" s="63">
        <f>B19/B23</f>
        <v>0.40203574500621236</v>
      </c>
      <c r="D19" s="92">
        <v>98</v>
      </c>
      <c r="E19" s="63">
        <f>D19/D23</f>
        <v>0.55681818181818177</v>
      </c>
      <c r="F19" s="93">
        <v>1034</v>
      </c>
      <c r="G19" s="63">
        <f>F19/F23</f>
        <v>0.35679779158040026</v>
      </c>
      <c r="H19" s="93">
        <v>1603</v>
      </c>
      <c r="I19" s="63">
        <f>H19/H23</f>
        <v>0.28286571378154224</v>
      </c>
      <c r="J19" s="93">
        <v>4448</v>
      </c>
      <c r="K19" s="63">
        <f>J19/J23</f>
        <v>0.39369799964595503</v>
      </c>
      <c r="L19" s="93">
        <v>4013</v>
      </c>
      <c r="M19" s="63">
        <f>L19/L23</f>
        <v>0.46946654188114179</v>
      </c>
      <c r="N19" s="93">
        <v>4176</v>
      </c>
      <c r="O19" s="63">
        <f>N19/N23</f>
        <v>0.44797253808195664</v>
      </c>
      <c r="P19" s="93">
        <v>1377</v>
      </c>
      <c r="Q19" s="63">
        <f>P19/P23</f>
        <v>0.36926790024135159</v>
      </c>
      <c r="R19" s="93">
        <v>77</v>
      </c>
      <c r="S19" s="82">
        <f>R19/R23</f>
        <v>0.35981308411214952</v>
      </c>
    </row>
    <row r="20" spans="1:19" ht="15" x14ac:dyDescent="0.25">
      <c r="A20" s="61" t="s">
        <v>14</v>
      </c>
      <c r="B20" s="62">
        <f>D20+F20+H20+J20+L20+N20+P20+R20</f>
        <v>4362</v>
      </c>
      <c r="C20" s="81">
        <f>B20/B23</f>
        <v>0.10422440982509797</v>
      </c>
      <c r="D20" s="92">
        <v>25</v>
      </c>
      <c r="E20" s="81">
        <f>D20/D23</f>
        <v>0.14204545454545456</v>
      </c>
      <c r="F20" s="93">
        <v>469</v>
      </c>
      <c r="G20" s="81">
        <f>F20/F23</f>
        <v>0.16183574879227053</v>
      </c>
      <c r="H20" s="93">
        <v>579</v>
      </c>
      <c r="I20" s="81">
        <f>H20/H23</f>
        <v>0.10217046056114346</v>
      </c>
      <c r="J20" s="93">
        <v>1187</v>
      </c>
      <c r="K20" s="81">
        <f>J20/J23</f>
        <v>0.1050628429810586</v>
      </c>
      <c r="L20" s="93">
        <v>875</v>
      </c>
      <c r="M20" s="81">
        <f>L20/L23</f>
        <v>0.10236312587739822</v>
      </c>
      <c r="N20" s="93">
        <v>916</v>
      </c>
      <c r="O20" s="81">
        <f>N20/N23</f>
        <v>9.8262175498819992E-2</v>
      </c>
      <c r="P20" s="93">
        <v>299</v>
      </c>
      <c r="Q20" s="81">
        <f>P20/P23</f>
        <v>8.01823545186377E-2</v>
      </c>
      <c r="R20" s="93">
        <v>12</v>
      </c>
      <c r="S20" s="82">
        <f>R20/R23</f>
        <v>5.6074766355140186E-2</v>
      </c>
    </row>
    <row r="21" spans="1:19" ht="13.5" thickBot="1" x14ac:dyDescent="0.25">
      <c r="A21" s="29" t="s">
        <v>15</v>
      </c>
      <c r="B21" s="72">
        <f>D21+F21+H21+J21+L21+N21+P21+R21</f>
        <v>10341</v>
      </c>
      <c r="C21" s="32">
        <f>B21/B23</f>
        <v>0.24708496607091657</v>
      </c>
      <c r="D21" s="92">
        <v>0</v>
      </c>
      <c r="E21" s="32">
        <f>D21/D23</f>
        <v>0</v>
      </c>
      <c r="F21" s="94">
        <f>287+699</f>
        <v>986</v>
      </c>
      <c r="G21" s="32">
        <f>F21/F23</f>
        <v>0.34023464458247066</v>
      </c>
      <c r="H21" s="94">
        <f>522+2237</f>
        <v>2759</v>
      </c>
      <c r="I21" s="32">
        <f>H21/H23</f>
        <v>0.48685371448738307</v>
      </c>
      <c r="J21" s="94">
        <f>959+2531</f>
        <v>3490</v>
      </c>
      <c r="K21" s="32">
        <f>J21/J23</f>
        <v>0.30890423083731633</v>
      </c>
      <c r="L21" s="94">
        <f>606+757</f>
        <v>1363</v>
      </c>
      <c r="M21" s="32">
        <f>L21/L23</f>
        <v>0.15945250350959289</v>
      </c>
      <c r="N21" s="94">
        <f>563+697</f>
        <v>1260</v>
      </c>
      <c r="O21" s="32">
        <f>N21/N23</f>
        <v>0.13516412786955589</v>
      </c>
      <c r="P21" s="94">
        <f>175+278</f>
        <v>453</v>
      </c>
      <c r="Q21" s="32">
        <f>P21/P23</f>
        <v>0.12148028962188254</v>
      </c>
      <c r="R21" s="94">
        <v>30</v>
      </c>
      <c r="S21" s="32">
        <f>R21/R23</f>
        <v>0.14018691588785046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x14ac:dyDescent="0.2">
      <c r="A23" s="29" t="s">
        <v>16</v>
      </c>
      <c r="B23" s="48">
        <f>D23+F23+H23+J23+L23+N23+P23+R23</f>
        <v>41852</v>
      </c>
      <c r="C23" s="67">
        <f t="shared" ref="C23:S23" si="0">SUM(C17:C21)</f>
        <v>1</v>
      </c>
      <c r="D23" s="71">
        <f t="shared" si="0"/>
        <v>176</v>
      </c>
      <c r="E23" s="67">
        <f t="shared" si="0"/>
        <v>1</v>
      </c>
      <c r="F23" s="71">
        <f t="shared" si="0"/>
        <v>2898</v>
      </c>
      <c r="G23" s="67">
        <f t="shared" si="0"/>
        <v>1</v>
      </c>
      <c r="H23" s="50">
        <f t="shared" si="0"/>
        <v>5667</v>
      </c>
      <c r="I23" s="67">
        <f t="shared" si="0"/>
        <v>1</v>
      </c>
      <c r="J23" s="71">
        <f t="shared" si="0"/>
        <v>11298</v>
      </c>
      <c r="K23" s="67">
        <f>SUM(K17:K21)</f>
        <v>1</v>
      </c>
      <c r="L23" s="50">
        <f t="shared" si="0"/>
        <v>8548</v>
      </c>
      <c r="M23" s="67">
        <f t="shared" si="0"/>
        <v>1</v>
      </c>
      <c r="N23" s="50">
        <f t="shared" si="0"/>
        <v>9322</v>
      </c>
      <c r="O23" s="67">
        <f t="shared" si="0"/>
        <v>1</v>
      </c>
      <c r="P23" s="50">
        <f t="shared" si="0"/>
        <v>3729</v>
      </c>
      <c r="Q23" s="67">
        <f t="shared" si="0"/>
        <v>1</v>
      </c>
      <c r="R23" s="50">
        <f t="shared" si="0"/>
        <v>214</v>
      </c>
      <c r="S23" s="67">
        <f t="shared" si="0"/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4.2052948485138105E-3</v>
      </c>
      <c r="E24" s="32"/>
      <c r="F24" s="32">
        <f>F23/$B$23</f>
        <v>6.9244002676096719E-2</v>
      </c>
      <c r="G24" s="32"/>
      <c r="H24" s="32">
        <f>H23/$B$23</f>
        <v>0.13540571537799867</v>
      </c>
      <c r="I24" s="32"/>
      <c r="J24" s="32">
        <f>J23/$B$23</f>
        <v>0.26995125680971038</v>
      </c>
      <c r="K24" s="32"/>
      <c r="L24" s="33">
        <f>L23/$B$23</f>
        <v>0.20424352480168212</v>
      </c>
      <c r="M24" s="32"/>
      <c r="N24" s="33">
        <f>N23/$B$23</f>
        <v>0.22273726464685081</v>
      </c>
      <c r="O24" s="32"/>
      <c r="P24" s="33">
        <f>P23/$B$23</f>
        <v>8.9099684602886364E-2</v>
      </c>
      <c r="Q24" s="32"/>
      <c r="R24" s="33">
        <f>R23/$B$23</f>
        <v>5.1132562362611106E-3</v>
      </c>
      <c r="S24" s="32"/>
    </row>
    <row r="25" spans="1:19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N15:O15"/>
    <mergeCell ref="P15:Q15"/>
    <mergeCell ref="R15:S15"/>
    <mergeCell ref="N3:O3"/>
    <mergeCell ref="P3:Q3"/>
    <mergeCell ref="B15:C15"/>
    <mergeCell ref="D15:E15"/>
    <mergeCell ref="F15:G15"/>
    <mergeCell ref="H15:I15"/>
    <mergeCell ref="J15:K15"/>
    <mergeCell ref="F3:G3"/>
    <mergeCell ref="H3:I3"/>
    <mergeCell ref="J3:K3"/>
    <mergeCell ref="L3:M3"/>
    <mergeCell ref="R3:S3"/>
    <mergeCell ref="B3:C3"/>
    <mergeCell ref="D3:E3"/>
    <mergeCell ref="L15:M15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29" sqref="B29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425781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23</v>
      </c>
    </row>
    <row r="2" spans="1:19" ht="13.5" thickBot="1" x14ac:dyDescent="0.25">
      <c r="A2" s="87" t="s">
        <v>20</v>
      </c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174</v>
      </c>
      <c r="C5" s="15">
        <f>B5/$B$11</f>
        <v>3.4772877155818463E-3</v>
      </c>
      <c r="D5" s="41">
        <v>4</v>
      </c>
      <c r="E5" s="15">
        <f>D5/$D$11</f>
        <v>1.4869888475836431E-2</v>
      </c>
      <c r="F5" s="41">
        <v>10</v>
      </c>
      <c r="G5" s="15">
        <f>F5/$F$11</f>
        <v>2.2502250225022503E-3</v>
      </c>
      <c r="H5" s="41">
        <v>9</v>
      </c>
      <c r="I5" s="15">
        <f>H5/$H$11</f>
        <v>1.1778563015312131E-3</v>
      </c>
      <c r="J5" s="41">
        <v>33</v>
      </c>
      <c r="K5" s="15">
        <f>J5/$J$11</f>
        <v>2.7682241422699438E-3</v>
      </c>
      <c r="L5" s="41">
        <v>34</v>
      </c>
      <c r="M5" s="15">
        <f>L5/$L$11</f>
        <v>3.4793286942284077E-3</v>
      </c>
      <c r="N5" s="41">
        <v>59</v>
      </c>
      <c r="O5" s="15">
        <f>N5/$N$11</f>
        <v>5.0114669158243435E-3</v>
      </c>
      <c r="P5" s="41">
        <v>24</v>
      </c>
      <c r="Q5" s="15">
        <f>P5/$P$11</f>
        <v>5.9538576035723144E-3</v>
      </c>
      <c r="R5" s="41">
        <v>1</v>
      </c>
      <c r="S5" s="15">
        <f>R5/$R$11</f>
        <v>5.3191489361702126E-3</v>
      </c>
    </row>
    <row r="6" spans="1:19" ht="13.5" thickBot="1" x14ac:dyDescent="0.25">
      <c r="A6" s="42" t="s">
        <v>12</v>
      </c>
      <c r="B6" s="40">
        <f>D6+F6+H6+J6+L6+N6+P6+R6</f>
        <v>11734</v>
      </c>
      <c r="C6" s="16">
        <f>B6/$B$11</f>
        <v>0.23449709226803095</v>
      </c>
      <c r="D6" s="41">
        <v>33</v>
      </c>
      <c r="E6" s="16">
        <f>D6/$D$11</f>
        <v>0.12267657992565056</v>
      </c>
      <c r="F6" s="41">
        <v>271</v>
      </c>
      <c r="G6" s="16">
        <f>F6/$F$11</f>
        <v>6.0981098109810984E-2</v>
      </c>
      <c r="H6" s="41">
        <v>739</v>
      </c>
      <c r="I6" s="16">
        <f>H6/$H$11</f>
        <v>9.6715089647951835E-2</v>
      </c>
      <c r="J6" s="41">
        <v>2111</v>
      </c>
      <c r="K6" s="16">
        <f>J6/$J$11</f>
        <v>0.17708245952520763</v>
      </c>
      <c r="L6" s="41">
        <v>2682</v>
      </c>
      <c r="M6" s="16">
        <f>L6/$L$11</f>
        <v>0.27445763405648793</v>
      </c>
      <c r="N6" s="41">
        <v>4003</v>
      </c>
      <c r="O6" s="16">
        <f>N6/$N$11</f>
        <v>0.34001528922109914</v>
      </c>
      <c r="P6" s="41">
        <v>1795</v>
      </c>
      <c r="Q6" s="16">
        <f>P6/$P$11</f>
        <v>0.44529893326717934</v>
      </c>
      <c r="R6" s="41">
        <v>100</v>
      </c>
      <c r="S6" s="16">
        <f>R6/$R$11</f>
        <v>0.53191489361702127</v>
      </c>
    </row>
    <row r="7" spans="1:19" ht="13.5" thickBot="1" x14ac:dyDescent="0.25">
      <c r="A7" s="43" t="s">
        <v>13</v>
      </c>
      <c r="B7" s="40">
        <f>D7+F7+H7+J7+L7+N7+P7+R7</f>
        <v>19956</v>
      </c>
      <c r="C7" s="16">
        <f>B7/$B$11</f>
        <v>0.39880892903535242</v>
      </c>
      <c r="D7" s="41">
        <v>178</v>
      </c>
      <c r="E7" s="16">
        <f>D7/$D$11</f>
        <v>0.66171003717472121</v>
      </c>
      <c r="F7" s="41">
        <v>1582</v>
      </c>
      <c r="G7" s="16">
        <f>F7/$F$11</f>
        <v>0.35598559855985601</v>
      </c>
      <c r="H7" s="41">
        <v>2105</v>
      </c>
      <c r="I7" s="16">
        <f>H7/$H$11</f>
        <v>0.27548750163591151</v>
      </c>
      <c r="J7" s="41">
        <v>4967</v>
      </c>
      <c r="K7" s="16">
        <f>J7/$J$11</f>
        <v>0.41665967620166094</v>
      </c>
      <c r="L7" s="41">
        <v>4594</v>
      </c>
      <c r="M7" s="16">
        <f>L7/$L$11</f>
        <v>0.47011870650839133</v>
      </c>
      <c r="N7" s="41">
        <v>5059</v>
      </c>
      <c r="O7" s="16">
        <f>N7/$N$11</f>
        <v>0.42971205300263315</v>
      </c>
      <c r="P7" s="41">
        <v>1411</v>
      </c>
      <c r="Q7" s="16">
        <f>P7/$P$11</f>
        <v>0.35003721161002233</v>
      </c>
      <c r="R7" s="41">
        <v>60</v>
      </c>
      <c r="S7" s="16">
        <f>R7/$R$11</f>
        <v>0.31914893617021278</v>
      </c>
    </row>
    <row r="8" spans="1:19" ht="13.5" thickBot="1" x14ac:dyDescent="0.25">
      <c r="A8" s="42" t="s">
        <v>14</v>
      </c>
      <c r="B8" s="40">
        <f>D8+F8+H8+J8+L8+N8+P8+R8</f>
        <v>5766</v>
      </c>
      <c r="C8" s="16">
        <f>B8/$B$11</f>
        <v>0.11523012050600531</v>
      </c>
      <c r="D8" s="41">
        <v>52</v>
      </c>
      <c r="E8" s="16">
        <f>D8/$D$11</f>
        <v>0.19330855018587362</v>
      </c>
      <c r="F8" s="41">
        <v>856</v>
      </c>
      <c r="G8" s="16">
        <f>F8/$F$11</f>
        <v>0.19261926192619261</v>
      </c>
      <c r="H8" s="41">
        <v>880</v>
      </c>
      <c r="I8" s="16">
        <f>H8/$H$11</f>
        <v>0.11516817170527417</v>
      </c>
      <c r="J8" s="41">
        <v>1436</v>
      </c>
      <c r="K8" s="16">
        <f>J8/$J$11</f>
        <v>0.12045969297877694</v>
      </c>
      <c r="L8" s="41">
        <v>1080</v>
      </c>
      <c r="M8" s="16">
        <f>L8/$L$11</f>
        <v>0.11051985264019648</v>
      </c>
      <c r="N8" s="41">
        <v>1157</v>
      </c>
      <c r="O8" s="16">
        <f>N8/$N$11</f>
        <v>9.827571562048755E-2</v>
      </c>
      <c r="P8" s="41">
        <v>302</v>
      </c>
      <c r="Q8" s="16">
        <f>P8/$P$11</f>
        <v>7.4919374844951619E-2</v>
      </c>
      <c r="R8" s="41">
        <v>3</v>
      </c>
      <c r="S8" s="16">
        <f>R8/$R$11</f>
        <v>1.5957446808510637E-2</v>
      </c>
    </row>
    <row r="9" spans="1:19" ht="13.5" thickBot="1" x14ac:dyDescent="0.25">
      <c r="A9" s="43" t="s">
        <v>15</v>
      </c>
      <c r="B9" s="40">
        <f>D9+F9+H9+J9+L9+N9+P9+R9</f>
        <v>12409</v>
      </c>
      <c r="C9" s="17">
        <f>B9/$B$11</f>
        <v>0.24798657047502948</v>
      </c>
      <c r="D9" s="41">
        <v>2</v>
      </c>
      <c r="E9" s="17">
        <f>D9/$D$11</f>
        <v>7.4349442379182153E-3</v>
      </c>
      <c r="F9" s="41">
        <v>1725</v>
      </c>
      <c r="G9" s="17">
        <f>F9/$F$11</f>
        <v>0.38816381638163816</v>
      </c>
      <c r="H9" s="41">
        <v>3908</v>
      </c>
      <c r="I9" s="17">
        <f>H9/$H$11</f>
        <v>0.51145138070933127</v>
      </c>
      <c r="J9" s="41">
        <v>3374</v>
      </c>
      <c r="K9" s="17">
        <f>J9/$J$11</f>
        <v>0.28302994715208457</v>
      </c>
      <c r="L9" s="41">
        <v>1382</v>
      </c>
      <c r="M9" s="17">
        <f>L9/$L$11</f>
        <v>0.14142447810069586</v>
      </c>
      <c r="N9" s="41">
        <v>1495</v>
      </c>
      <c r="O9" s="17">
        <f>N9/$N$11</f>
        <v>0.12698547523995582</v>
      </c>
      <c r="P9" s="41">
        <v>499</v>
      </c>
      <c r="Q9" s="17">
        <f>P9/$P$11</f>
        <v>0.12379062267427438</v>
      </c>
      <c r="R9" s="41">
        <v>24</v>
      </c>
      <c r="S9" s="17">
        <f>R9/$R$11</f>
        <v>0.1276595744680851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50039</v>
      </c>
      <c r="C11" s="45">
        <f>B11/$B$11</f>
        <v>1</v>
      </c>
      <c r="D11" s="49">
        <f>SUM(D5:D9)</f>
        <v>269</v>
      </c>
      <c r="E11" s="45">
        <f>D11/$D$11</f>
        <v>1</v>
      </c>
      <c r="F11" s="50">
        <f>SUM(F5:F9)</f>
        <v>4444</v>
      </c>
      <c r="G11" s="45">
        <f>F11/$F$11</f>
        <v>1</v>
      </c>
      <c r="H11" s="50">
        <f>SUM(H5:H9)</f>
        <v>7641</v>
      </c>
      <c r="I11" s="45">
        <f>H11/$H$11</f>
        <v>1</v>
      </c>
      <c r="J11" s="47">
        <f>SUM(J5:J9)</f>
        <v>11921</v>
      </c>
      <c r="K11" s="45">
        <f>J11/$J$11</f>
        <v>1</v>
      </c>
      <c r="L11" s="47">
        <f>SUM(L5:L9)</f>
        <v>9772</v>
      </c>
      <c r="M11" s="45">
        <f>L11/$L$11</f>
        <v>1</v>
      </c>
      <c r="N11" s="47">
        <f>SUM(N5:N9)</f>
        <v>11773</v>
      </c>
      <c r="O11" s="45">
        <f>N11/$N$11</f>
        <v>1</v>
      </c>
      <c r="P11" s="47">
        <f>SUM(P5:P9)</f>
        <v>4031</v>
      </c>
      <c r="Q11" s="45">
        <f>P11/$P$11</f>
        <v>1</v>
      </c>
      <c r="R11" s="47">
        <f>SUM(R5:R9)</f>
        <v>188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5.3758068706409E-3</v>
      </c>
      <c r="E12" s="52"/>
      <c r="F12" s="28">
        <f>F11/$B$11</f>
        <v>8.8810727632446698E-2</v>
      </c>
      <c r="G12" s="52"/>
      <c r="H12" s="28">
        <f>H11/$B$11</f>
        <v>0.15270089330322348</v>
      </c>
      <c r="I12" s="52"/>
      <c r="J12" s="28">
        <f>J11/$B$11</f>
        <v>0.23823417734167349</v>
      </c>
      <c r="K12" s="52"/>
      <c r="L12" s="28">
        <f>L11/$B$11</f>
        <v>0.19528767561302185</v>
      </c>
      <c r="M12" s="52"/>
      <c r="N12" s="28">
        <f>N11/$B$11</f>
        <v>0.23527648434221307</v>
      </c>
      <c r="O12" s="52"/>
      <c r="P12" s="28">
        <f>P11/$B$11</f>
        <v>8.0557165410979431E-2</v>
      </c>
      <c r="Q12" s="52"/>
      <c r="R12" s="28">
        <f>R11/$B$11</f>
        <v>3.7570694858010752E-3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3.5" thickBot="1" x14ac:dyDescent="0.25">
      <c r="A17" s="59" t="s">
        <v>11</v>
      </c>
      <c r="B17" s="40">
        <f>D17+F17+H17+J17+L17+N17+P17+R17</f>
        <v>158</v>
      </c>
      <c r="C17" s="60">
        <f>B17/$B$23</f>
        <v>3.437098914485849E-3</v>
      </c>
      <c r="D17" s="41">
        <v>0</v>
      </c>
      <c r="E17" s="60">
        <v>0</v>
      </c>
      <c r="F17" s="41">
        <v>6</v>
      </c>
      <c r="G17" s="60">
        <v>0</v>
      </c>
      <c r="H17" s="41">
        <v>9</v>
      </c>
      <c r="I17" s="60">
        <v>0</v>
      </c>
      <c r="J17" s="41">
        <v>38</v>
      </c>
      <c r="K17" s="60">
        <v>0</v>
      </c>
      <c r="L17" s="41">
        <v>39</v>
      </c>
      <c r="M17" s="60">
        <v>0</v>
      </c>
      <c r="N17" s="41">
        <v>41</v>
      </c>
      <c r="O17" s="60">
        <v>0</v>
      </c>
      <c r="P17" s="41">
        <v>24</v>
      </c>
      <c r="Q17" s="60">
        <v>0.01</v>
      </c>
      <c r="R17" s="41">
        <v>1</v>
      </c>
      <c r="S17" s="60">
        <f>R17/$R$11</f>
        <v>5.3191489361702126E-3</v>
      </c>
    </row>
    <row r="18" spans="1:19" ht="13.5" thickBot="1" x14ac:dyDescent="0.25">
      <c r="A18" s="61" t="s">
        <v>12</v>
      </c>
      <c r="B18" s="62">
        <f>D18+F18+H18+J18+L18+N18+P18+R18</f>
        <v>10849</v>
      </c>
      <c r="C18" s="63">
        <f>B18/$B$23</f>
        <v>0.23600687419782898</v>
      </c>
      <c r="D18" s="41">
        <v>36</v>
      </c>
      <c r="E18" s="63">
        <v>0.15</v>
      </c>
      <c r="F18" s="41">
        <v>284</v>
      </c>
      <c r="G18" s="63">
        <v>7.0000000000000007E-2</v>
      </c>
      <c r="H18" s="41">
        <v>705</v>
      </c>
      <c r="I18" s="63">
        <v>0.11</v>
      </c>
      <c r="J18" s="41">
        <v>2054</v>
      </c>
      <c r="K18" s="63">
        <v>0.18</v>
      </c>
      <c r="L18" s="41">
        <v>2447</v>
      </c>
      <c r="M18" s="63">
        <v>0.27</v>
      </c>
      <c r="N18" s="41">
        <v>3436</v>
      </c>
      <c r="O18" s="63">
        <v>0.33</v>
      </c>
      <c r="P18" s="41">
        <v>1781</v>
      </c>
      <c r="Q18" s="63">
        <v>0.45</v>
      </c>
      <c r="R18" s="41">
        <v>106</v>
      </c>
      <c r="S18" s="63">
        <f>R18/$R$11</f>
        <v>0.56382978723404253</v>
      </c>
    </row>
    <row r="19" spans="1:19" ht="13.5" thickBot="1" x14ac:dyDescent="0.25">
      <c r="A19" s="29" t="s">
        <v>13</v>
      </c>
      <c r="B19" s="62">
        <f>D19+F19+H19+J19+L19+N19+P19+R19</f>
        <v>18404</v>
      </c>
      <c r="C19" s="63">
        <f>B19/$B$23</f>
        <v>0.4003567621658074</v>
      </c>
      <c r="D19" s="41">
        <v>153</v>
      </c>
      <c r="E19" s="63">
        <v>0.65</v>
      </c>
      <c r="F19" s="41">
        <v>1402</v>
      </c>
      <c r="G19" s="63">
        <v>0.36</v>
      </c>
      <c r="H19" s="41">
        <v>1893</v>
      </c>
      <c r="I19" s="63">
        <v>0.28000000000000003</v>
      </c>
      <c r="J19" s="41">
        <v>4589</v>
      </c>
      <c r="K19" s="63">
        <v>0.4</v>
      </c>
      <c r="L19" s="41">
        <v>4253</v>
      </c>
      <c r="M19" s="63">
        <v>0.47</v>
      </c>
      <c r="N19" s="41">
        <v>4658</v>
      </c>
      <c r="O19" s="63">
        <v>0.44</v>
      </c>
      <c r="P19" s="41">
        <v>1396</v>
      </c>
      <c r="Q19" s="63">
        <v>0.35</v>
      </c>
      <c r="R19" s="41">
        <v>60</v>
      </c>
      <c r="S19" s="63">
        <f>R19/$R$11</f>
        <v>0.31914893617021278</v>
      </c>
    </row>
    <row r="20" spans="1:19" ht="13.5" thickBot="1" x14ac:dyDescent="0.25">
      <c r="A20" s="61" t="s">
        <v>14</v>
      </c>
      <c r="B20" s="62">
        <f>D20+F20+H20+J20+L20+N20+P20+R20</f>
        <v>5125</v>
      </c>
      <c r="C20" s="63">
        <f>B20/$B$23</f>
        <v>0.11148817681480998</v>
      </c>
      <c r="D20" s="41">
        <v>45</v>
      </c>
      <c r="E20" s="63">
        <v>0.19</v>
      </c>
      <c r="F20" s="41">
        <v>696</v>
      </c>
      <c r="G20" s="63">
        <v>0.18</v>
      </c>
      <c r="H20" s="41">
        <v>723</v>
      </c>
      <c r="I20" s="63">
        <v>0.11</v>
      </c>
      <c r="J20" s="41">
        <v>1296</v>
      </c>
      <c r="K20" s="63">
        <v>0.11</v>
      </c>
      <c r="L20" s="41">
        <v>998</v>
      </c>
      <c r="M20" s="63">
        <v>0.11</v>
      </c>
      <c r="N20" s="41">
        <v>1056</v>
      </c>
      <c r="O20" s="63">
        <v>0.1</v>
      </c>
      <c r="P20" s="41">
        <v>300</v>
      </c>
      <c r="Q20" s="63">
        <v>0.08</v>
      </c>
      <c r="R20" s="41">
        <v>11</v>
      </c>
      <c r="S20" s="63">
        <f>R20/$R$11</f>
        <v>5.8510638297872342E-2</v>
      </c>
    </row>
    <row r="21" spans="1:19" ht="13.5" thickBot="1" x14ac:dyDescent="0.25">
      <c r="A21" s="29" t="s">
        <v>15</v>
      </c>
      <c r="B21" s="64">
        <f>D21+F21+H21+J21+L21+N21+P21+R21</f>
        <v>11433</v>
      </c>
      <c r="C21" s="65">
        <f>B21/$B$23</f>
        <v>0.24871108790706781</v>
      </c>
      <c r="D21" s="41">
        <v>0</v>
      </c>
      <c r="E21" s="65">
        <v>0</v>
      </c>
      <c r="F21" s="41">
        <v>1456</v>
      </c>
      <c r="G21" s="65">
        <v>0.38</v>
      </c>
      <c r="H21" s="41">
        <v>3369</v>
      </c>
      <c r="I21" s="65">
        <v>0.5</v>
      </c>
      <c r="J21" s="41">
        <v>3487</v>
      </c>
      <c r="K21" s="65">
        <v>0.3</v>
      </c>
      <c r="L21" s="41">
        <v>1346</v>
      </c>
      <c r="M21" s="65">
        <v>0.15</v>
      </c>
      <c r="N21" s="41">
        <v>1292</v>
      </c>
      <c r="O21" s="65">
        <v>0.12</v>
      </c>
      <c r="P21" s="41">
        <v>467</v>
      </c>
      <c r="Q21" s="65">
        <v>0.12</v>
      </c>
      <c r="R21" s="41">
        <v>16</v>
      </c>
      <c r="S21" s="65">
        <f>R21/$R$11</f>
        <v>8.5106382978723402E-2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SUM(B17:B21)</f>
        <v>45969</v>
      </c>
      <c r="C23" s="67">
        <f>B23/$B$23</f>
        <v>1</v>
      </c>
      <c r="D23" s="71">
        <f>SUM(D17:D21)</f>
        <v>234</v>
      </c>
      <c r="E23" s="67">
        <f>D23/$D$23</f>
        <v>1</v>
      </c>
      <c r="F23" s="71">
        <f>SUM(F17:F21)</f>
        <v>3844</v>
      </c>
      <c r="G23" s="67">
        <f t="shared" ref="G23" si="0">F23/$F$23</f>
        <v>1</v>
      </c>
      <c r="H23" s="50">
        <f>SUM(H17:H21)</f>
        <v>6699</v>
      </c>
      <c r="I23" s="67">
        <f t="shared" ref="I23" si="1">H23/$H$23</f>
        <v>1</v>
      </c>
      <c r="J23" s="71">
        <f>SUM(J17:J21)</f>
        <v>11464</v>
      </c>
      <c r="K23" s="67">
        <f t="shared" ref="K23" si="2">J23/$J$23</f>
        <v>1</v>
      </c>
      <c r="L23" s="50">
        <f>SUM(L17:L21)</f>
        <v>9083</v>
      </c>
      <c r="M23" s="67">
        <f t="shared" ref="M23" si="3">L23/$L$23</f>
        <v>1</v>
      </c>
      <c r="N23" s="50">
        <f>SUM(N17:N21)</f>
        <v>10483</v>
      </c>
      <c r="O23" s="67">
        <f t="shared" ref="O23" si="4">N23/$N$23</f>
        <v>1</v>
      </c>
      <c r="P23" s="50">
        <f>SUM(P17:P21)</f>
        <v>3968</v>
      </c>
      <c r="Q23" s="67">
        <f t="shared" ref="Q23" si="5">P23/$P$23</f>
        <v>1</v>
      </c>
      <c r="R23" s="50">
        <f>SUM(R17:R21)</f>
        <v>194</v>
      </c>
      <c r="S23" s="67">
        <f t="shared" ref="S23" si="6">R23/$R$23</f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5.0903869999347389E-3</v>
      </c>
      <c r="E24" s="32"/>
      <c r="F24" s="32">
        <f>F23/$B$23</f>
        <v>8.3621571058756991E-2</v>
      </c>
      <c r="G24" s="32"/>
      <c r="H24" s="32">
        <f>H23/$B$23</f>
        <v>0.14572864321608039</v>
      </c>
      <c r="I24" s="32"/>
      <c r="J24" s="32">
        <f>J23/$B$23</f>
        <v>0.24938545541560617</v>
      </c>
      <c r="K24" s="32"/>
      <c r="L24" s="33">
        <f>L23/$B$23</f>
        <v>0.19758968000174029</v>
      </c>
      <c r="M24" s="32"/>
      <c r="N24" s="33">
        <f>N23/$B$23</f>
        <v>0.22804498683895669</v>
      </c>
      <c r="O24" s="32"/>
      <c r="P24" s="33">
        <f>P23/$B$23</f>
        <v>8.6319041092910442E-2</v>
      </c>
      <c r="Q24" s="32"/>
      <c r="R24" s="33">
        <f>R23/$B$23</f>
        <v>4.2202353760142702E-3</v>
      </c>
      <c r="S24" s="32"/>
    </row>
    <row r="25" spans="1:19" x14ac:dyDescent="0.2">
      <c r="A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1" spans="1:19" x14ac:dyDescent="0.2">
      <c r="B31" s="3"/>
      <c r="C31" s="3"/>
      <c r="D31" s="3"/>
      <c r="E31" s="3"/>
      <c r="F31" s="3"/>
      <c r="G31" s="3"/>
      <c r="H31" s="3"/>
      <c r="I31" s="3"/>
    </row>
    <row r="32" spans="1:19" x14ac:dyDescent="0.2">
      <c r="B32" s="4"/>
      <c r="C32" s="4"/>
      <c r="D32" s="4"/>
      <c r="E32" s="3"/>
      <c r="F32" s="4"/>
      <c r="G32" s="3"/>
      <c r="H32" s="4"/>
      <c r="I32" s="3"/>
    </row>
  </sheetData>
  <mergeCells count="18">
    <mergeCell ref="R15:S15"/>
    <mergeCell ref="N3:O3"/>
    <mergeCell ref="P3:Q3"/>
    <mergeCell ref="R3:S3"/>
    <mergeCell ref="N15:O15"/>
    <mergeCell ref="H3:I3"/>
    <mergeCell ref="F15:G15"/>
    <mergeCell ref="H15:I15"/>
    <mergeCell ref="J15:K15"/>
    <mergeCell ref="P15:Q15"/>
    <mergeCell ref="L15:M15"/>
    <mergeCell ref="J3:K3"/>
    <mergeCell ref="L3:M3"/>
    <mergeCell ref="B15:C15"/>
    <mergeCell ref="D15:E15"/>
    <mergeCell ref="B3:C3"/>
    <mergeCell ref="D3:E3"/>
    <mergeCell ref="F3:G3"/>
  </mergeCells>
  <phoneticPr fontId="6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E35" sqref="E35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425781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21</v>
      </c>
    </row>
    <row r="2" spans="1:19" ht="13.5" thickBot="1" x14ac:dyDescent="0.25">
      <c r="A2" s="87" t="s">
        <v>20</v>
      </c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175</v>
      </c>
      <c r="C5" s="15">
        <f>B5/$B$11</f>
        <v>3.4832802547770702E-3</v>
      </c>
      <c r="D5" s="41">
        <v>2</v>
      </c>
      <c r="E5" s="15">
        <f>D5/$D$11</f>
        <v>8.0321285140562242E-3</v>
      </c>
      <c r="F5" s="41">
        <v>8</v>
      </c>
      <c r="G5" s="15">
        <f>F5/$F$11</f>
        <v>1.8190086402910413E-3</v>
      </c>
      <c r="H5" s="41">
        <v>10</v>
      </c>
      <c r="I5" s="15">
        <f>H5/$H$11</f>
        <v>1.2948336138806163E-3</v>
      </c>
      <c r="J5" s="41">
        <v>32</v>
      </c>
      <c r="K5" s="15">
        <f>J5/$J$11</f>
        <v>2.6604589291652808E-3</v>
      </c>
      <c r="L5" s="41">
        <v>39</v>
      </c>
      <c r="M5" s="15">
        <f>L5/$L$11</f>
        <v>4.0012311480455524E-3</v>
      </c>
      <c r="N5" s="41">
        <v>57</v>
      </c>
      <c r="O5" s="15">
        <f>N5/$N$11</f>
        <v>4.8288715689596747E-3</v>
      </c>
      <c r="P5" s="41">
        <v>26</v>
      </c>
      <c r="Q5" s="15">
        <f>P5/$P$11</f>
        <v>6.3414634146341468E-3</v>
      </c>
      <c r="R5" s="41">
        <v>1</v>
      </c>
      <c r="S5" s="15">
        <f>R5/$R$11</f>
        <v>5.235602094240838E-3</v>
      </c>
    </row>
    <row r="6" spans="1:19" ht="13.5" thickBot="1" x14ac:dyDescent="0.25">
      <c r="A6" s="42" t="s">
        <v>12</v>
      </c>
      <c r="B6" s="40">
        <f>D6+F6+H6+J6+L6+N6+P6+R6</f>
        <v>11753</v>
      </c>
      <c r="C6" s="16">
        <f>B6/$B$11</f>
        <v>0.23393710191082803</v>
      </c>
      <c r="D6" s="41">
        <v>35</v>
      </c>
      <c r="E6" s="16">
        <f>D6/$D$11</f>
        <v>0.14056224899598393</v>
      </c>
      <c r="F6" s="41">
        <v>281</v>
      </c>
      <c r="G6" s="16">
        <f>F6/$F$11</f>
        <v>6.3892678490222829E-2</v>
      </c>
      <c r="H6" s="41">
        <v>733</v>
      </c>
      <c r="I6" s="16">
        <f>H6/$H$11</f>
        <v>9.4911303897449173E-2</v>
      </c>
      <c r="J6" s="41">
        <v>2125</v>
      </c>
      <c r="K6" s="16">
        <f>J6/$J$11</f>
        <v>0.17667110076488193</v>
      </c>
      <c r="L6" s="41">
        <v>2667</v>
      </c>
      <c r="M6" s="16">
        <f>L6/$L$11</f>
        <v>0.27362265312403816</v>
      </c>
      <c r="N6" s="41">
        <v>4004</v>
      </c>
      <c r="O6" s="16">
        <f>N6/$N$11</f>
        <v>0.33920704845814981</v>
      </c>
      <c r="P6" s="41">
        <v>1808</v>
      </c>
      <c r="Q6" s="16">
        <f>P6/$P$11</f>
        <v>0.44097560975609756</v>
      </c>
      <c r="R6" s="41">
        <v>100</v>
      </c>
      <c r="S6" s="16">
        <f>R6/$R$11</f>
        <v>0.52356020942408377</v>
      </c>
    </row>
    <row r="7" spans="1:19" ht="13.5" thickBot="1" x14ac:dyDescent="0.25">
      <c r="A7" s="43" t="s">
        <v>13</v>
      </c>
      <c r="B7" s="40">
        <f>D7+F7+H7+J7+L7+N7+P7+R7</f>
        <v>20085</v>
      </c>
      <c r="C7" s="16">
        <f>B7/$B$11</f>
        <v>0.399781050955414</v>
      </c>
      <c r="D7" s="41">
        <v>166</v>
      </c>
      <c r="E7" s="16">
        <f>D7/$D$11</f>
        <v>0.66666666666666663</v>
      </c>
      <c r="F7" s="41">
        <v>1584</v>
      </c>
      <c r="G7" s="16">
        <f>F7/$F$11</f>
        <v>0.36016371077762621</v>
      </c>
      <c r="H7" s="41">
        <v>2173</v>
      </c>
      <c r="I7" s="16">
        <f>H7/$H$11</f>
        <v>0.28136734429625793</v>
      </c>
      <c r="J7" s="41">
        <v>5008</v>
      </c>
      <c r="K7" s="16">
        <f>J7/$J$11</f>
        <v>0.41636182241436648</v>
      </c>
      <c r="L7" s="41">
        <v>4594</v>
      </c>
      <c r="M7" s="16">
        <f>L7/$L$11</f>
        <v>0.47132451010567356</v>
      </c>
      <c r="N7" s="41">
        <v>5059</v>
      </c>
      <c r="O7" s="16">
        <f>N7/$N$11</f>
        <v>0.42858353100643848</v>
      </c>
      <c r="P7" s="41">
        <v>1436</v>
      </c>
      <c r="Q7" s="16">
        <f>P7/$P$11</f>
        <v>0.35024390243902437</v>
      </c>
      <c r="R7" s="41">
        <v>65</v>
      </c>
      <c r="S7" s="16">
        <f>R7/$R$11</f>
        <v>0.34031413612565448</v>
      </c>
    </row>
    <row r="8" spans="1:19" ht="13.5" thickBot="1" x14ac:dyDescent="0.25">
      <c r="A8" s="42" t="s">
        <v>14</v>
      </c>
      <c r="B8" s="40">
        <f>D8+F8+H8+J8+L8+N8+P8+R8</f>
        <v>5829</v>
      </c>
      <c r="C8" s="16">
        <f>B8/$B$11</f>
        <v>0.11602308917197453</v>
      </c>
      <c r="D8" s="41">
        <v>45</v>
      </c>
      <c r="E8" s="16">
        <f>D8/$D$11</f>
        <v>0.18072289156626506</v>
      </c>
      <c r="F8" s="41">
        <v>850</v>
      </c>
      <c r="G8" s="16">
        <f>F8/$F$11</f>
        <v>0.19326966803092316</v>
      </c>
      <c r="H8" s="41">
        <v>899</v>
      </c>
      <c r="I8" s="16">
        <f>H8/$H$11</f>
        <v>0.11640554188786741</v>
      </c>
      <c r="J8" s="41">
        <v>1459</v>
      </c>
      <c r="K8" s="16">
        <f>J8/$J$11</f>
        <v>0.12130029930162953</v>
      </c>
      <c r="L8" s="41">
        <v>1077</v>
      </c>
      <c r="M8" s="16">
        <f>L8/$L$11</f>
        <v>0.11049553708833487</v>
      </c>
      <c r="N8" s="41">
        <v>1182</v>
      </c>
      <c r="O8" s="16">
        <f>N8/$N$11</f>
        <v>0.10013554727211114</v>
      </c>
      <c r="P8" s="41">
        <v>315</v>
      </c>
      <c r="Q8" s="16">
        <f>P8/$P$11</f>
        <v>7.6829268292682926E-2</v>
      </c>
      <c r="R8" s="41">
        <v>2</v>
      </c>
      <c r="S8" s="16">
        <f>R8/$R$11</f>
        <v>1.0471204188481676E-2</v>
      </c>
    </row>
    <row r="9" spans="1:19" ht="13.5" thickBot="1" x14ac:dyDescent="0.25">
      <c r="A9" s="43" t="s">
        <v>15</v>
      </c>
      <c r="B9" s="40">
        <f>D9+F9+H9+J9+L9+N9+P9+R9</f>
        <v>12398</v>
      </c>
      <c r="C9" s="17">
        <f>B9/$B$11</f>
        <v>0.24677547770700636</v>
      </c>
      <c r="D9" s="41">
        <v>1</v>
      </c>
      <c r="E9" s="17">
        <f>D9/$D$11</f>
        <v>4.0160642570281121E-3</v>
      </c>
      <c r="F9" s="41">
        <v>1675</v>
      </c>
      <c r="G9" s="17">
        <f>F9/$F$11</f>
        <v>0.38085493406093679</v>
      </c>
      <c r="H9" s="41">
        <v>3908</v>
      </c>
      <c r="I9" s="17">
        <f>H9/$H$11</f>
        <v>0.5060209763045449</v>
      </c>
      <c r="J9" s="41">
        <v>3404</v>
      </c>
      <c r="K9" s="17">
        <f>J9/$J$11</f>
        <v>0.28300631858995678</v>
      </c>
      <c r="L9" s="41">
        <v>1370</v>
      </c>
      <c r="M9" s="17">
        <f>L9/$L$11</f>
        <v>0.14055606853390787</v>
      </c>
      <c r="N9" s="41">
        <v>1502</v>
      </c>
      <c r="O9" s="17">
        <f>N9/$N$11</f>
        <v>0.12724500169434091</v>
      </c>
      <c r="P9" s="41">
        <v>515</v>
      </c>
      <c r="Q9" s="17">
        <f>P9/$P$11</f>
        <v>0.12560975609756098</v>
      </c>
      <c r="R9" s="41">
        <v>23</v>
      </c>
      <c r="S9" s="17">
        <f>R9/$R$11</f>
        <v>0.12041884816753927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50240</v>
      </c>
      <c r="C11" s="45">
        <f>B11/$B$11</f>
        <v>1</v>
      </c>
      <c r="D11" s="49">
        <f>SUM(D5:D9)</f>
        <v>249</v>
      </c>
      <c r="E11" s="45">
        <f>D11/$D$11</f>
        <v>1</v>
      </c>
      <c r="F11" s="50">
        <f>SUM(F5:F9)</f>
        <v>4398</v>
      </c>
      <c r="G11" s="45">
        <f>F11/$F$11</f>
        <v>1</v>
      </c>
      <c r="H11" s="50">
        <f>SUM(H5:H9)</f>
        <v>7723</v>
      </c>
      <c r="I11" s="45">
        <f>H11/$H$11</f>
        <v>1</v>
      </c>
      <c r="J11" s="47">
        <f>SUM(J5:J9)</f>
        <v>12028</v>
      </c>
      <c r="K11" s="45">
        <f>J11/$J$11</f>
        <v>1</v>
      </c>
      <c r="L11" s="47">
        <f>SUM(L5:L9)</f>
        <v>9747</v>
      </c>
      <c r="M11" s="45">
        <f>L11/$L$11</f>
        <v>1</v>
      </c>
      <c r="N11" s="47">
        <f>SUM(N5:N9)</f>
        <v>11804</v>
      </c>
      <c r="O11" s="45">
        <f>N11/$N$11</f>
        <v>1</v>
      </c>
      <c r="P11" s="47">
        <f>SUM(P5:P9)</f>
        <v>4100</v>
      </c>
      <c r="Q11" s="45">
        <f>P11/$P$11</f>
        <v>1</v>
      </c>
      <c r="R11" s="47">
        <f>SUM(R5:R9)</f>
        <v>191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4.9562101910828023E-3</v>
      </c>
      <c r="E12" s="52"/>
      <c r="F12" s="28">
        <f>F11/$B$11</f>
        <v>8.7539808917197454E-2</v>
      </c>
      <c r="G12" s="52"/>
      <c r="H12" s="28">
        <f>H11/$B$11</f>
        <v>0.15372213375796179</v>
      </c>
      <c r="I12" s="52"/>
      <c r="J12" s="28">
        <f>J11/$B$11</f>
        <v>0.2394108280254777</v>
      </c>
      <c r="K12" s="52"/>
      <c r="L12" s="28">
        <f>L11/$B$11</f>
        <v>0.19400875796178343</v>
      </c>
      <c r="M12" s="52"/>
      <c r="N12" s="28">
        <f>N11/$B$11</f>
        <v>0.23495222929936305</v>
      </c>
      <c r="O12" s="52"/>
      <c r="P12" s="28">
        <f>P11/$B$11</f>
        <v>8.1608280254777066E-2</v>
      </c>
      <c r="Q12" s="52"/>
      <c r="R12" s="28">
        <f>R11/$B$11</f>
        <v>3.8017515923566879E-3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3.5" thickBot="1" x14ac:dyDescent="0.25">
      <c r="A17" s="59" t="s">
        <v>11</v>
      </c>
      <c r="B17" s="40">
        <f t="shared" ref="B17:B21" si="0">D17+F17+H17+J17+L17+N17+P17+R17</f>
        <v>155</v>
      </c>
      <c r="C17" s="60">
        <f>B17/$B$23</f>
        <v>3.3724244468136028E-3</v>
      </c>
      <c r="D17" s="41">
        <v>0</v>
      </c>
      <c r="E17" s="60">
        <f>D17/$D$23</f>
        <v>0</v>
      </c>
      <c r="F17" s="41">
        <v>9</v>
      </c>
      <c r="G17" s="60">
        <f>F17/$F$23</f>
        <v>2.3413111342351716E-3</v>
      </c>
      <c r="H17" s="41">
        <v>7</v>
      </c>
      <c r="I17" s="60">
        <f>H17/$H$23</f>
        <v>1.0472770795930579E-3</v>
      </c>
      <c r="J17" s="41">
        <v>37</v>
      </c>
      <c r="K17" s="60">
        <f>J17/$J$23</f>
        <v>3.1976492956529252E-3</v>
      </c>
      <c r="L17" s="41">
        <v>39</v>
      </c>
      <c r="M17" s="60">
        <f>L17/$L$23</f>
        <v>4.3098684937562162E-3</v>
      </c>
      <c r="N17" s="41">
        <v>39</v>
      </c>
      <c r="O17" s="60">
        <f>N17/$N$23</f>
        <v>3.7496394577444477E-3</v>
      </c>
      <c r="P17" s="41">
        <v>22</v>
      </c>
      <c r="Q17" s="60">
        <f>P17/$P$23</f>
        <v>5.5499495459132193E-3</v>
      </c>
      <c r="R17" s="41">
        <v>2</v>
      </c>
      <c r="S17" s="60">
        <f>R17/$R$23</f>
        <v>9.7087378640776691E-3</v>
      </c>
    </row>
    <row r="18" spans="1:19" ht="13.5" thickBot="1" x14ac:dyDescent="0.25">
      <c r="A18" s="61" t="s">
        <v>12</v>
      </c>
      <c r="B18" s="62">
        <f t="shared" si="0"/>
        <v>10771</v>
      </c>
      <c r="C18" s="63">
        <f>B18/$B$23</f>
        <v>0.23435086268793107</v>
      </c>
      <c r="D18" s="41">
        <v>37</v>
      </c>
      <c r="E18" s="63">
        <f>D18/$D$23</f>
        <v>0.15289256198347106</v>
      </c>
      <c r="F18" s="41">
        <v>283</v>
      </c>
      <c r="G18" s="63">
        <f t="shared" ref="G18:G23" si="1">F18/$F$23</f>
        <v>7.3621227887617061E-2</v>
      </c>
      <c r="H18" s="41">
        <v>684</v>
      </c>
      <c r="I18" s="63">
        <f t="shared" ref="I18:I23" si="2">H18/$H$23</f>
        <v>0.10233393177737882</v>
      </c>
      <c r="J18" s="41">
        <v>2063</v>
      </c>
      <c r="K18" s="63">
        <f t="shared" ref="K18:K23" si="3">J18/$J$23</f>
        <v>0.17829055397113475</v>
      </c>
      <c r="L18" s="41">
        <v>2406</v>
      </c>
      <c r="M18" s="63">
        <f t="shared" ref="M18:M23" si="4">L18/$L$23</f>
        <v>0.26588573323019116</v>
      </c>
      <c r="N18" s="41">
        <v>3429</v>
      </c>
      <c r="O18" s="63">
        <f t="shared" ref="O18:O23" si="5">N18/$N$23</f>
        <v>0.3296798384770695</v>
      </c>
      <c r="P18" s="41">
        <v>1761</v>
      </c>
      <c r="Q18" s="63">
        <f t="shared" ref="Q18:Q23" si="6">P18/$P$23</f>
        <v>0.44424823410696268</v>
      </c>
      <c r="R18" s="41">
        <v>108</v>
      </c>
      <c r="S18" s="63">
        <f t="shared" ref="S18:S23" si="7">R18/$R$23</f>
        <v>0.52427184466019416</v>
      </c>
    </row>
    <row r="19" spans="1:19" ht="13.5" thickBot="1" x14ac:dyDescent="0.25">
      <c r="A19" s="29" t="s">
        <v>13</v>
      </c>
      <c r="B19" s="62">
        <f t="shared" si="0"/>
        <v>18473</v>
      </c>
      <c r="C19" s="63">
        <f>B19/$B$23</f>
        <v>0.40192772132895282</v>
      </c>
      <c r="D19" s="41">
        <v>168</v>
      </c>
      <c r="E19" s="63">
        <f>D19/$D$23</f>
        <v>0.69421487603305787</v>
      </c>
      <c r="F19" s="41">
        <v>1429</v>
      </c>
      <c r="G19" s="63">
        <f t="shared" si="1"/>
        <v>0.37174817898022894</v>
      </c>
      <c r="H19" s="41">
        <v>1901</v>
      </c>
      <c r="I19" s="63">
        <f t="shared" si="2"/>
        <v>0.2844105326152005</v>
      </c>
      <c r="J19" s="41">
        <v>4622</v>
      </c>
      <c r="K19" s="63">
        <f t="shared" si="3"/>
        <v>0.39944689309480597</v>
      </c>
      <c r="L19" s="41">
        <v>4277</v>
      </c>
      <c r="M19" s="63">
        <f t="shared" si="4"/>
        <v>0.47264891148193172</v>
      </c>
      <c r="N19" s="41">
        <v>4619</v>
      </c>
      <c r="O19" s="63">
        <f t="shared" si="5"/>
        <v>0.44409191423901551</v>
      </c>
      <c r="P19" s="41">
        <v>1392</v>
      </c>
      <c r="Q19" s="63">
        <f t="shared" si="6"/>
        <v>0.35116044399596369</v>
      </c>
      <c r="R19" s="41">
        <v>65</v>
      </c>
      <c r="S19" s="63">
        <f t="shared" si="7"/>
        <v>0.3155339805825243</v>
      </c>
    </row>
    <row r="20" spans="1:19" ht="13.5" thickBot="1" x14ac:dyDescent="0.25">
      <c r="A20" s="61" t="s">
        <v>14</v>
      </c>
      <c r="B20" s="62">
        <f t="shared" si="0"/>
        <v>5131</v>
      </c>
      <c r="C20" s="63">
        <f>B20/$B$23</f>
        <v>0.11163812797806837</v>
      </c>
      <c r="D20" s="41">
        <v>37</v>
      </c>
      <c r="E20" s="63">
        <f>D20/$D$23</f>
        <v>0.15289256198347106</v>
      </c>
      <c r="F20" s="41">
        <v>692</v>
      </c>
      <c r="G20" s="63">
        <f t="shared" si="1"/>
        <v>0.18002081165452655</v>
      </c>
      <c r="H20" s="41">
        <v>739</v>
      </c>
      <c r="I20" s="63">
        <f t="shared" si="2"/>
        <v>0.11056253740275285</v>
      </c>
      <c r="J20" s="41">
        <v>1323</v>
      </c>
      <c r="K20" s="63">
        <f t="shared" si="3"/>
        <v>0.11433756805807622</v>
      </c>
      <c r="L20" s="41">
        <v>988</v>
      </c>
      <c r="M20" s="63">
        <f t="shared" si="4"/>
        <v>0.10918333517515748</v>
      </c>
      <c r="N20" s="41">
        <v>1034</v>
      </c>
      <c r="O20" s="63">
        <f t="shared" si="5"/>
        <v>9.941351793096817E-2</v>
      </c>
      <c r="P20" s="41">
        <v>308</v>
      </c>
      <c r="Q20" s="63">
        <f t="shared" si="6"/>
        <v>7.7699293642785064E-2</v>
      </c>
      <c r="R20" s="41">
        <v>10</v>
      </c>
      <c r="S20" s="63">
        <f t="shared" si="7"/>
        <v>4.8543689320388349E-2</v>
      </c>
    </row>
    <row r="21" spans="1:19" ht="13.5" thickBot="1" x14ac:dyDescent="0.25">
      <c r="A21" s="29" t="s">
        <v>15</v>
      </c>
      <c r="B21" s="64">
        <f t="shared" si="0"/>
        <v>11431</v>
      </c>
      <c r="C21" s="65">
        <f>B21/$B$23</f>
        <v>0.24871086355823416</v>
      </c>
      <c r="D21" s="41">
        <v>0</v>
      </c>
      <c r="E21" s="65">
        <f>D21/$D$23</f>
        <v>0</v>
      </c>
      <c r="F21" s="41">
        <v>1431</v>
      </c>
      <c r="G21" s="65">
        <f>F21/$F$23</f>
        <v>0.37226847034339228</v>
      </c>
      <c r="H21" s="41">
        <v>3353</v>
      </c>
      <c r="I21" s="65">
        <f t="shared" si="2"/>
        <v>0.50164572112507477</v>
      </c>
      <c r="J21" s="41">
        <v>3526</v>
      </c>
      <c r="K21" s="65">
        <f t="shared" si="3"/>
        <v>0.30472733558033016</v>
      </c>
      <c r="L21" s="41">
        <v>1339</v>
      </c>
      <c r="M21" s="65">
        <f t="shared" si="4"/>
        <v>0.14797215161896343</v>
      </c>
      <c r="N21" s="41">
        <v>1280</v>
      </c>
      <c r="O21" s="65">
        <f t="shared" si="5"/>
        <v>0.12306508989520239</v>
      </c>
      <c r="P21" s="41">
        <v>481</v>
      </c>
      <c r="Q21" s="65">
        <f t="shared" si="6"/>
        <v>0.12134207870837538</v>
      </c>
      <c r="R21" s="41">
        <v>21</v>
      </c>
      <c r="S21" s="65">
        <f t="shared" si="7"/>
        <v>0.10194174757281553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SUM(B17:B21)</f>
        <v>45961</v>
      </c>
      <c r="C23" s="67">
        <f>B23/$B$23</f>
        <v>1</v>
      </c>
      <c r="D23" s="71">
        <f>SUM(D17:D21)</f>
        <v>242</v>
      </c>
      <c r="E23" s="67">
        <f>D23/$D$23</f>
        <v>1</v>
      </c>
      <c r="F23" s="71">
        <f>SUM(F17:F21)</f>
        <v>3844</v>
      </c>
      <c r="G23" s="67">
        <f t="shared" si="1"/>
        <v>1</v>
      </c>
      <c r="H23" s="50">
        <f>SUM(H17:H21)</f>
        <v>6684</v>
      </c>
      <c r="I23" s="67">
        <f t="shared" si="2"/>
        <v>1</v>
      </c>
      <c r="J23" s="71">
        <f>SUM(J17:J21)</f>
        <v>11571</v>
      </c>
      <c r="K23" s="67">
        <f t="shared" si="3"/>
        <v>1</v>
      </c>
      <c r="L23" s="50">
        <f>SUM(L17:L21)</f>
        <v>9049</v>
      </c>
      <c r="M23" s="67">
        <f t="shared" si="4"/>
        <v>1</v>
      </c>
      <c r="N23" s="50">
        <f>SUM(N17:N21)</f>
        <v>10401</v>
      </c>
      <c r="O23" s="67">
        <f t="shared" si="5"/>
        <v>1</v>
      </c>
      <c r="P23" s="50">
        <f>SUM(P17:P21)</f>
        <v>3964</v>
      </c>
      <c r="Q23" s="67">
        <f t="shared" si="6"/>
        <v>1</v>
      </c>
      <c r="R23" s="50">
        <f>SUM(R17:R21)</f>
        <v>206</v>
      </c>
      <c r="S23" s="67">
        <f t="shared" si="7"/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5.2653336524444636E-3</v>
      </c>
      <c r="E24" s="32"/>
      <c r="F24" s="32">
        <f>F23/$B$23</f>
        <v>8.3636126280977344E-2</v>
      </c>
      <c r="G24" s="32"/>
      <c r="H24" s="32">
        <f>H23/$B$23</f>
        <v>0.14542764517743303</v>
      </c>
      <c r="I24" s="32"/>
      <c r="J24" s="32">
        <f>J23/$B$23</f>
        <v>0.25175692434890451</v>
      </c>
      <c r="K24" s="32"/>
      <c r="L24" s="33">
        <f>L23/$B$23</f>
        <v>0.19688431496268577</v>
      </c>
      <c r="M24" s="32"/>
      <c r="N24" s="33">
        <f>N23/$B$23</f>
        <v>0.22630055916973085</v>
      </c>
      <c r="O24" s="32"/>
      <c r="P24" s="33">
        <f>P23/$B$23</f>
        <v>8.6247035530123362E-2</v>
      </c>
      <c r="Q24" s="32"/>
      <c r="R24" s="33">
        <f>R23/$B$23</f>
        <v>4.4820608777006591E-3</v>
      </c>
      <c r="S24" s="32"/>
    </row>
    <row r="25" spans="1:19" x14ac:dyDescent="0.2">
      <c r="A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1" spans="1:19" x14ac:dyDescent="0.2">
      <c r="B31" s="3"/>
      <c r="C31" s="3"/>
      <c r="D31" s="3"/>
      <c r="E31" s="3"/>
      <c r="F31" s="3"/>
      <c r="G31" s="3"/>
      <c r="H31" s="3"/>
      <c r="I31" s="3"/>
    </row>
    <row r="32" spans="1:19" x14ac:dyDescent="0.2">
      <c r="B32" s="4"/>
      <c r="C32" s="4"/>
      <c r="D32" s="4"/>
      <c r="E32" s="3"/>
      <c r="F32" s="4"/>
      <c r="G32" s="3"/>
      <c r="H32" s="4"/>
      <c r="I32" s="3"/>
    </row>
  </sheetData>
  <mergeCells count="18">
    <mergeCell ref="B3:C3"/>
    <mergeCell ref="D3:E3"/>
    <mergeCell ref="F3:G3"/>
    <mergeCell ref="H3:I3"/>
    <mergeCell ref="R3:S3"/>
    <mergeCell ref="J3:K3"/>
    <mergeCell ref="L3:M3"/>
    <mergeCell ref="N3:O3"/>
    <mergeCell ref="P3:Q3"/>
    <mergeCell ref="N15:O15"/>
    <mergeCell ref="P15:Q15"/>
    <mergeCell ref="R15:S15"/>
    <mergeCell ref="B15:C15"/>
    <mergeCell ref="D15:E15"/>
    <mergeCell ref="F15:G15"/>
    <mergeCell ref="H15:I15"/>
    <mergeCell ref="J15:K15"/>
    <mergeCell ref="L15:M15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D29" sqref="D29"/>
    </sheetView>
  </sheetViews>
  <sheetFormatPr defaultRowHeight="12.75" x14ac:dyDescent="0.2"/>
  <cols>
    <col min="1" max="1" width="21" customWidth="1"/>
    <col min="2" max="2" width="7.85546875" customWidth="1"/>
    <col min="3" max="3" width="7.28515625" bestFit="1" customWidth="1"/>
    <col min="4" max="5" width="6.140625" customWidth="1"/>
    <col min="6" max="6" width="7" customWidth="1"/>
    <col min="7" max="7" width="5.42578125" customWidth="1"/>
    <col min="8" max="8" width="7.42578125" customWidth="1"/>
    <col min="9" max="9" width="6.28515625" customWidth="1"/>
    <col min="10" max="10" width="7.42578125" customWidth="1"/>
    <col min="11" max="11" width="6.140625" customWidth="1"/>
    <col min="12" max="12" width="7.140625" customWidth="1"/>
    <col min="13" max="13" width="5.5703125" customWidth="1"/>
    <col min="14" max="14" width="7.42578125" customWidth="1"/>
    <col min="15" max="15" width="5.42578125" customWidth="1"/>
    <col min="16" max="16" width="7.85546875" customWidth="1"/>
    <col min="17" max="17" width="5.7109375" customWidth="1"/>
    <col min="18" max="18" width="4.28515625" customWidth="1"/>
  </cols>
  <sheetData>
    <row r="1" spans="1:19" x14ac:dyDescent="0.2">
      <c r="A1" s="1" t="s">
        <v>24</v>
      </c>
    </row>
    <row r="2" spans="1:19" ht="13.5" thickBot="1" x14ac:dyDescent="0.25">
      <c r="A2" s="87" t="s">
        <v>20</v>
      </c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155</v>
      </c>
      <c r="C5" s="15">
        <f>B5/$B$11</f>
        <v>3.2404406999351912E-3</v>
      </c>
      <c r="D5" s="41">
        <v>1</v>
      </c>
      <c r="E5" s="15">
        <f>D5/$D$11</f>
        <v>4.5871559633027525E-3</v>
      </c>
      <c r="F5" s="41">
        <v>8</v>
      </c>
      <c r="G5" s="15">
        <f>F5/$F$11</f>
        <v>1.9521717911176184E-3</v>
      </c>
      <c r="H5" s="41">
        <v>10</v>
      </c>
      <c r="I5" s="15">
        <f>H5/$H$11</f>
        <v>1.3810247203424942E-3</v>
      </c>
      <c r="J5" s="41">
        <v>29</v>
      </c>
      <c r="K5" s="15">
        <f>J5/$J$11</f>
        <v>2.5153959580189087E-3</v>
      </c>
      <c r="L5" s="41">
        <v>31</v>
      </c>
      <c r="M5" s="15">
        <f>L5/$L$11</f>
        <v>3.3347676419965577E-3</v>
      </c>
      <c r="N5" s="41">
        <v>50</v>
      </c>
      <c r="O5" s="15">
        <f>N5/$N$11</f>
        <v>4.4275214734791467E-3</v>
      </c>
      <c r="P5" s="41">
        <v>25</v>
      </c>
      <c r="Q5" s="15">
        <f>P5/$P$11</f>
        <v>6.279829188646069E-3</v>
      </c>
      <c r="R5" s="41">
        <v>1</v>
      </c>
      <c r="S5" s="15">
        <f t="shared" ref="S5:S11" si="0">R5/$R$11</f>
        <v>5.6497175141242938E-3</v>
      </c>
    </row>
    <row r="6" spans="1:19" ht="13.5" thickBot="1" x14ac:dyDescent="0.25">
      <c r="A6" s="42" t="s">
        <v>12</v>
      </c>
      <c r="B6" s="40">
        <f>D6+F6+H6+J6+L6+N6+P6+R6</f>
        <v>10916</v>
      </c>
      <c r="C6" s="16">
        <f>B6/$B$11</f>
        <v>0.22821064955156481</v>
      </c>
      <c r="D6" s="41">
        <v>27</v>
      </c>
      <c r="E6" s="16">
        <f>D6/$D$11</f>
        <v>0.12385321100917432</v>
      </c>
      <c r="F6" s="41">
        <v>234</v>
      </c>
      <c r="G6" s="16">
        <f>F6/$F$11</f>
        <v>5.7101024890190338E-2</v>
      </c>
      <c r="H6" s="41">
        <v>646</v>
      </c>
      <c r="I6" s="16">
        <f>H6/$H$11</f>
        <v>8.921419693412512E-2</v>
      </c>
      <c r="J6" s="41">
        <v>1933</v>
      </c>
      <c r="K6" s="16">
        <f>J6/$J$11</f>
        <v>0.16766415127070866</v>
      </c>
      <c r="L6" s="41">
        <v>2466</v>
      </c>
      <c r="M6" s="16">
        <f>L6/$L$11</f>
        <v>0.26527538726333905</v>
      </c>
      <c r="N6" s="41">
        <v>3765</v>
      </c>
      <c r="O6" s="16">
        <f>N6/$N$11</f>
        <v>0.33339236695297975</v>
      </c>
      <c r="P6" s="41">
        <v>1756</v>
      </c>
      <c r="Q6" s="16">
        <f>P6/$P$11</f>
        <v>0.44109520221049986</v>
      </c>
      <c r="R6" s="41">
        <v>89</v>
      </c>
      <c r="S6" s="16">
        <f t="shared" si="0"/>
        <v>0.50282485875706218</v>
      </c>
    </row>
    <row r="7" spans="1:19" ht="13.5" thickBot="1" x14ac:dyDescent="0.25">
      <c r="A7" s="43" t="s">
        <v>13</v>
      </c>
      <c r="B7" s="40">
        <f>D7+F7+H7+J7+L7+N7+P7+R7</f>
        <v>19181</v>
      </c>
      <c r="C7" s="16">
        <f>B7/$B$11</f>
        <v>0.40099931009972195</v>
      </c>
      <c r="D7" s="41">
        <v>152</v>
      </c>
      <c r="E7" s="16">
        <f>D7/$D$11</f>
        <v>0.69724770642201839</v>
      </c>
      <c r="F7" s="41">
        <v>1521</v>
      </c>
      <c r="G7" s="16">
        <f>F7/$F$11</f>
        <v>0.37115666178623719</v>
      </c>
      <c r="H7" s="41">
        <v>2060</v>
      </c>
      <c r="I7" s="16">
        <f>H7/$H$11</f>
        <v>0.28449109239055381</v>
      </c>
      <c r="J7" s="41">
        <v>4773</v>
      </c>
      <c r="K7" s="16">
        <f>J7/$J$11</f>
        <v>0.41399947957325006</v>
      </c>
      <c r="L7" s="41">
        <v>4383</v>
      </c>
      <c r="M7" s="16">
        <f>L7/$L$11</f>
        <v>0.47149311531841653</v>
      </c>
      <c r="N7" s="41">
        <v>4846</v>
      </c>
      <c r="O7" s="16">
        <f>N7/$N$11</f>
        <v>0.42911538120959886</v>
      </c>
      <c r="P7" s="41">
        <v>1383</v>
      </c>
      <c r="Q7" s="16">
        <f>P7/$P$11</f>
        <v>0.34740015071590052</v>
      </c>
      <c r="R7" s="41">
        <v>63</v>
      </c>
      <c r="S7" s="16">
        <f t="shared" si="0"/>
        <v>0.3559322033898305</v>
      </c>
    </row>
    <row r="8" spans="1:19" ht="13.5" thickBot="1" x14ac:dyDescent="0.25">
      <c r="A8" s="42" t="s">
        <v>14</v>
      </c>
      <c r="B8" s="40">
        <f>D8+F8+H8+J8+L8+N8+P8+R8</f>
        <v>5476</v>
      </c>
      <c r="C8" s="16">
        <f>B8/$B$11</f>
        <v>0.11448163401835552</v>
      </c>
      <c r="D8" s="41">
        <v>37</v>
      </c>
      <c r="E8" s="16">
        <f>D8/$D$11</f>
        <v>0.16972477064220184</v>
      </c>
      <c r="F8" s="41">
        <v>806</v>
      </c>
      <c r="G8" s="16">
        <f>F8/$F$11</f>
        <v>0.19668130795510005</v>
      </c>
      <c r="H8" s="41">
        <v>814</v>
      </c>
      <c r="I8" s="16">
        <f>H8/$H$11</f>
        <v>0.11241541223587902</v>
      </c>
      <c r="J8" s="41">
        <v>1371</v>
      </c>
      <c r="K8" s="16">
        <f>J8/$J$11</f>
        <v>0.11891751236013531</v>
      </c>
      <c r="L8" s="41">
        <v>1018</v>
      </c>
      <c r="M8" s="16">
        <f>L8/$L$11</f>
        <v>0.10950946643717728</v>
      </c>
      <c r="N8" s="41">
        <v>1135</v>
      </c>
      <c r="O8" s="16">
        <f>N8/$N$11</f>
        <v>0.10050473744797662</v>
      </c>
      <c r="P8" s="41">
        <v>294</v>
      </c>
      <c r="Q8" s="16">
        <f>P8/$P$11</f>
        <v>7.3850791258477766E-2</v>
      </c>
      <c r="R8" s="41">
        <v>1</v>
      </c>
      <c r="S8" s="16">
        <f t="shared" si="0"/>
        <v>5.6497175141242938E-3</v>
      </c>
    </row>
    <row r="9" spans="1:19" ht="13.5" thickBot="1" x14ac:dyDescent="0.25">
      <c r="A9" s="43" t="s">
        <v>15</v>
      </c>
      <c r="B9" s="40">
        <f>D9+F9+H9+J9+L9+N9+P9+R9</f>
        <v>12105</v>
      </c>
      <c r="C9" s="17">
        <f>B9/$B$11</f>
        <v>0.2530679656304225</v>
      </c>
      <c r="D9" s="41">
        <v>1</v>
      </c>
      <c r="E9" s="17">
        <f>D9/$D$11</f>
        <v>4.5871559633027525E-3</v>
      </c>
      <c r="F9" s="41">
        <v>1529</v>
      </c>
      <c r="G9" s="17">
        <f>F9/$F$11</f>
        <v>0.3731088335773548</v>
      </c>
      <c r="H9" s="41">
        <v>3711</v>
      </c>
      <c r="I9" s="17">
        <f>H9/$H$11</f>
        <v>0.51249827371909962</v>
      </c>
      <c r="J9" s="41">
        <v>3423</v>
      </c>
      <c r="K9" s="17">
        <f>J9/$J$11</f>
        <v>0.29690346083788705</v>
      </c>
      <c r="L9" s="41">
        <v>1398</v>
      </c>
      <c r="M9" s="17">
        <f>L9/$L$11</f>
        <v>0.15038726333907057</v>
      </c>
      <c r="N9" s="41">
        <v>1497</v>
      </c>
      <c r="O9" s="17">
        <f>N9/$N$11</f>
        <v>0.13255999291596565</v>
      </c>
      <c r="P9" s="41">
        <v>523</v>
      </c>
      <c r="Q9" s="17">
        <f>P9/$P$11</f>
        <v>0.13137402662647577</v>
      </c>
      <c r="R9" s="41">
        <v>23</v>
      </c>
      <c r="S9" s="17">
        <f t="shared" si="0"/>
        <v>0.12994350282485875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>
        <f t="shared" si="0"/>
        <v>0</v>
      </c>
    </row>
    <row r="11" spans="1:19" x14ac:dyDescent="0.2">
      <c r="A11" s="43" t="s">
        <v>16</v>
      </c>
      <c r="B11" s="48">
        <f>SUM(B5:B9)</f>
        <v>47833</v>
      </c>
      <c r="C11" s="45">
        <f>B11/$B$11</f>
        <v>1</v>
      </c>
      <c r="D11" s="49">
        <f>SUM(D5:D9)</f>
        <v>218</v>
      </c>
      <c r="E11" s="45">
        <f>D11/$D$11</f>
        <v>1</v>
      </c>
      <c r="F11" s="50">
        <f>SUM(F5:F9)</f>
        <v>4098</v>
      </c>
      <c r="G11" s="45">
        <f>F11/$F$11</f>
        <v>1</v>
      </c>
      <c r="H11" s="50">
        <f>SUM(H5:H9)</f>
        <v>7241</v>
      </c>
      <c r="I11" s="45">
        <f>H11/$H$11</f>
        <v>1</v>
      </c>
      <c r="J11" s="47">
        <f>SUM(J5:J9)</f>
        <v>11529</v>
      </c>
      <c r="K11" s="45">
        <f>J11/$J$11</f>
        <v>1</v>
      </c>
      <c r="L11" s="47">
        <f>SUM(L5:L9)</f>
        <v>9296</v>
      </c>
      <c r="M11" s="45">
        <f>L11/$L$11</f>
        <v>1</v>
      </c>
      <c r="N11" s="47">
        <f>SUM(N5:N9)</f>
        <v>11293</v>
      </c>
      <c r="O11" s="45">
        <f>N11/$N$11</f>
        <v>1</v>
      </c>
      <c r="P11" s="47">
        <f>SUM(P5:P9)</f>
        <v>3981</v>
      </c>
      <c r="Q11" s="45">
        <f>P11/$P$11</f>
        <v>1</v>
      </c>
      <c r="R11" s="47">
        <f>SUM(R5:R10)</f>
        <v>177</v>
      </c>
      <c r="S11" s="45">
        <f t="shared" si="0"/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4.5575230489411072E-3</v>
      </c>
      <c r="E12" s="52"/>
      <c r="F12" s="28">
        <f>F11/$B$11</f>
        <v>8.5673070892480094E-2</v>
      </c>
      <c r="G12" s="52"/>
      <c r="H12" s="28">
        <f>H11/$B$11</f>
        <v>0.15138084585955303</v>
      </c>
      <c r="I12" s="52"/>
      <c r="J12" s="28">
        <f>J11/$B$11</f>
        <v>0.2410260698680827</v>
      </c>
      <c r="K12" s="52"/>
      <c r="L12" s="28">
        <f>L11/$B$11</f>
        <v>0.1943428177199841</v>
      </c>
      <c r="M12" s="52"/>
      <c r="N12" s="28">
        <f>N11/$B$11</f>
        <v>0.23609223757656847</v>
      </c>
      <c r="O12" s="52"/>
      <c r="P12" s="28">
        <f>P11/$B$11</f>
        <v>8.3227060815754816E-2</v>
      </c>
      <c r="Q12" s="52"/>
      <c r="R12" s="28">
        <f>R11/$B$11</f>
        <v>3.7003742186356701E-3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19" ht="15.75" thickBot="1" x14ac:dyDescent="0.3">
      <c r="A17" s="59" t="s">
        <v>11</v>
      </c>
      <c r="B17" s="40">
        <f>SUM(D17,F17,H17,J17,L17,N17,P17,R17)</f>
        <v>138</v>
      </c>
      <c r="C17" s="60">
        <f>B17/$B$23</f>
        <v>3.2289765548224065E-3</v>
      </c>
      <c r="D17" s="95">
        <v>0</v>
      </c>
      <c r="E17" s="60">
        <f>D17/$D$23</f>
        <v>0</v>
      </c>
      <c r="F17" s="96">
        <v>7</v>
      </c>
      <c r="G17" s="60">
        <f>F17/$F$23</f>
        <v>1.9796380090497737E-3</v>
      </c>
      <c r="H17" s="96">
        <v>9</v>
      </c>
      <c r="I17" s="60">
        <f>H17/$H$23</f>
        <v>1.4589074404279462E-3</v>
      </c>
      <c r="J17" s="96">
        <v>34</v>
      </c>
      <c r="K17" s="60">
        <f>J17/$J$23</f>
        <v>3.1560382437575418E-3</v>
      </c>
      <c r="L17" s="96">
        <v>35</v>
      </c>
      <c r="M17" s="60">
        <f>L17/$L$23</f>
        <v>4.1801027110951869E-3</v>
      </c>
      <c r="N17" s="96">
        <v>35</v>
      </c>
      <c r="O17" s="60">
        <f>N17/$N$23</f>
        <v>3.5971223021582736E-3</v>
      </c>
      <c r="P17" s="96">
        <v>18</v>
      </c>
      <c r="Q17" s="60">
        <f>P17/$P$23</f>
        <v>4.7505938242280287E-3</v>
      </c>
      <c r="R17" s="41">
        <v>0</v>
      </c>
      <c r="S17" s="60">
        <f>R17/$R$23</f>
        <v>0</v>
      </c>
    </row>
    <row r="18" spans="1:19" ht="15.75" thickBot="1" x14ac:dyDescent="0.3">
      <c r="A18" s="61" t="s">
        <v>12</v>
      </c>
      <c r="B18" s="40">
        <f t="shared" ref="B18:B21" si="1">SUM(D18,F18,H18,J18,L18,N18,P18,R18)</f>
        <v>9760</v>
      </c>
      <c r="C18" s="63">
        <f>B18/$B$23</f>
        <v>0.22836819692077309</v>
      </c>
      <c r="D18" s="95">
        <v>32</v>
      </c>
      <c r="E18" s="63">
        <f>D18/$D$23</f>
        <v>0.15094339622641509</v>
      </c>
      <c r="F18" s="96">
        <v>259</v>
      </c>
      <c r="G18" s="63">
        <f t="shared" ref="G18:G23" si="2">F18/$F$23</f>
        <v>7.3246606334841632E-2</v>
      </c>
      <c r="H18" s="96">
        <v>600</v>
      </c>
      <c r="I18" s="63">
        <f t="shared" ref="I18:I23" si="3">H18/$H$23</f>
        <v>9.726049602852975E-2</v>
      </c>
      <c r="J18" s="96">
        <v>1893</v>
      </c>
      <c r="K18" s="63">
        <f t="shared" ref="K18:K23" si="4">J18/$J$23</f>
        <v>0.17571707045391255</v>
      </c>
      <c r="L18" s="96">
        <v>2118</v>
      </c>
      <c r="M18" s="63">
        <f t="shared" ref="M18:M23" si="5">L18/$L$23</f>
        <v>0.25295592977427445</v>
      </c>
      <c r="N18" s="96">
        <v>3127</v>
      </c>
      <c r="O18" s="63">
        <f t="shared" ref="O18:O23" si="6">N18/$N$23</f>
        <v>0.32137718396711201</v>
      </c>
      <c r="P18" s="96">
        <v>1645</v>
      </c>
      <c r="Q18" s="63">
        <f t="shared" ref="Q18:Q23" si="7">P18/$P$23</f>
        <v>0.43415149115861706</v>
      </c>
      <c r="R18" s="41">
        <v>86</v>
      </c>
      <c r="S18" s="63">
        <f t="shared" ref="S18:S23" si="8">R18/$R$23</f>
        <v>0.55128205128205132</v>
      </c>
    </row>
    <row r="19" spans="1:19" ht="15.75" thickBot="1" x14ac:dyDescent="0.3">
      <c r="A19" s="29" t="s">
        <v>13</v>
      </c>
      <c r="B19" s="40">
        <f t="shared" si="1"/>
        <v>17122</v>
      </c>
      <c r="C19" s="63">
        <f>B19/$B$23</f>
        <v>0.40062707660629887</v>
      </c>
      <c r="D19" s="95">
        <v>145</v>
      </c>
      <c r="E19" s="63">
        <f>D19/$D$23</f>
        <v>0.68396226415094341</v>
      </c>
      <c r="F19" s="96">
        <v>1297</v>
      </c>
      <c r="G19" s="63">
        <f t="shared" si="2"/>
        <v>0.36679864253393663</v>
      </c>
      <c r="H19" s="96">
        <v>1687</v>
      </c>
      <c r="I19" s="63">
        <f t="shared" si="3"/>
        <v>0.27346409466688282</v>
      </c>
      <c r="J19" s="96">
        <v>4246</v>
      </c>
      <c r="K19" s="63">
        <f t="shared" si="4"/>
        <v>0.39413348185278008</v>
      </c>
      <c r="L19" s="96">
        <v>4000</v>
      </c>
      <c r="M19" s="63">
        <f t="shared" si="5"/>
        <v>0.47772602412516424</v>
      </c>
      <c r="N19" s="96">
        <v>4338</v>
      </c>
      <c r="O19" s="63">
        <f t="shared" si="6"/>
        <v>0.44583761562178831</v>
      </c>
      <c r="P19" s="96">
        <v>1356</v>
      </c>
      <c r="Q19" s="63">
        <f t="shared" si="7"/>
        <v>0.3578780680918448</v>
      </c>
      <c r="R19" s="41">
        <v>53</v>
      </c>
      <c r="S19" s="63">
        <f t="shared" si="8"/>
        <v>0.33974358974358976</v>
      </c>
    </row>
    <row r="20" spans="1:19" ht="15.75" thickBot="1" x14ac:dyDescent="0.3">
      <c r="A20" s="61" t="s">
        <v>14</v>
      </c>
      <c r="B20" s="40">
        <f t="shared" si="1"/>
        <v>4642</v>
      </c>
      <c r="C20" s="63">
        <f>B20/$B$23</f>
        <v>0.10861528382235949</v>
      </c>
      <c r="D20" s="95">
        <v>35</v>
      </c>
      <c r="E20" s="63">
        <f>D20/$D$23</f>
        <v>0.1650943396226415</v>
      </c>
      <c r="F20" s="96">
        <v>594</v>
      </c>
      <c r="G20" s="63">
        <f t="shared" si="2"/>
        <v>0.16798642533936653</v>
      </c>
      <c r="H20" s="96">
        <v>660</v>
      </c>
      <c r="I20" s="63">
        <f t="shared" si="3"/>
        <v>0.10698654563138273</v>
      </c>
      <c r="J20" s="96">
        <v>1185</v>
      </c>
      <c r="K20" s="63">
        <f t="shared" si="4"/>
        <v>0.10999721526037315</v>
      </c>
      <c r="L20" s="96">
        <v>910</v>
      </c>
      <c r="M20" s="63">
        <f t="shared" si="5"/>
        <v>0.10868267048847485</v>
      </c>
      <c r="N20" s="96">
        <v>964</v>
      </c>
      <c r="O20" s="63">
        <f t="shared" si="6"/>
        <v>9.9075025693730723E-2</v>
      </c>
      <c r="P20" s="96">
        <v>291</v>
      </c>
      <c r="Q20" s="63">
        <f t="shared" si="7"/>
        <v>7.6801266825019796E-2</v>
      </c>
      <c r="R20" s="41">
        <v>3</v>
      </c>
      <c r="S20" s="63">
        <f t="shared" si="8"/>
        <v>1.9230769230769232E-2</v>
      </c>
    </row>
    <row r="21" spans="1:19" ht="13.5" thickBot="1" x14ac:dyDescent="0.25">
      <c r="A21" s="29" t="s">
        <v>15</v>
      </c>
      <c r="B21" s="40">
        <f t="shared" si="1"/>
        <v>11076</v>
      </c>
      <c r="C21" s="65">
        <f>B21/$B$23</f>
        <v>0.25916046609574617</v>
      </c>
      <c r="D21" s="95">
        <v>0</v>
      </c>
      <c r="E21" s="65">
        <f>D21/$D$23</f>
        <v>0</v>
      </c>
      <c r="F21" s="97">
        <f>410+969</f>
        <v>1379</v>
      </c>
      <c r="G21" s="65">
        <f>F21/$F$23</f>
        <v>0.38998868778280543</v>
      </c>
      <c r="H21" s="97">
        <f>576+2637</f>
        <v>3213</v>
      </c>
      <c r="I21" s="65">
        <f t="shared" si="3"/>
        <v>0.52082995623277684</v>
      </c>
      <c r="J21" s="97">
        <f>970+2445</f>
        <v>3415</v>
      </c>
      <c r="K21" s="65">
        <f t="shared" si="4"/>
        <v>0.31699619418917663</v>
      </c>
      <c r="L21" s="97">
        <f>639+671</f>
        <v>1310</v>
      </c>
      <c r="M21" s="65">
        <f t="shared" si="5"/>
        <v>0.15645527290099129</v>
      </c>
      <c r="N21" s="97">
        <f>598+668</f>
        <v>1266</v>
      </c>
      <c r="O21" s="65">
        <f t="shared" si="6"/>
        <v>0.13011305241521068</v>
      </c>
      <c r="P21" s="97">
        <f>189+290</f>
        <v>479</v>
      </c>
      <c r="Q21" s="65">
        <f t="shared" si="7"/>
        <v>0.12641858010029031</v>
      </c>
      <c r="R21" s="41">
        <v>14</v>
      </c>
      <c r="S21" s="65">
        <f t="shared" si="8"/>
        <v>8.9743589743589744E-2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SUM(B17:B22)</f>
        <v>42738</v>
      </c>
      <c r="C23" s="67">
        <f>B23/$B$23</f>
        <v>1</v>
      </c>
      <c r="D23" s="71">
        <f>SUM(D17:D21)</f>
        <v>212</v>
      </c>
      <c r="E23" s="67">
        <f>D23/$D$23</f>
        <v>1</v>
      </c>
      <c r="F23" s="71">
        <f>SUM(F17:F21)</f>
        <v>3536</v>
      </c>
      <c r="G23" s="67">
        <f t="shared" si="2"/>
        <v>1</v>
      </c>
      <c r="H23" s="50">
        <f>SUM(H17:H21)</f>
        <v>6169</v>
      </c>
      <c r="I23" s="67">
        <f t="shared" si="3"/>
        <v>1</v>
      </c>
      <c r="J23" s="71">
        <f>SUM(J17:J21)</f>
        <v>10773</v>
      </c>
      <c r="K23" s="67">
        <f t="shared" si="4"/>
        <v>1</v>
      </c>
      <c r="L23" s="50">
        <f>SUM(L17:L21)</f>
        <v>8373</v>
      </c>
      <c r="M23" s="67">
        <f t="shared" si="5"/>
        <v>1</v>
      </c>
      <c r="N23" s="50">
        <f>SUM(N17:N21)</f>
        <v>9730</v>
      </c>
      <c r="O23" s="67">
        <f t="shared" si="6"/>
        <v>1</v>
      </c>
      <c r="P23" s="50">
        <f>SUM(P17:P21)</f>
        <v>3789</v>
      </c>
      <c r="Q23" s="67">
        <f t="shared" si="7"/>
        <v>1</v>
      </c>
      <c r="R23" s="50">
        <f>SUM(R17:R21)</f>
        <v>156</v>
      </c>
      <c r="S23" s="67">
        <f t="shared" si="8"/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4.960456736393842E-3</v>
      </c>
      <c r="E24" s="32"/>
      <c r="F24" s="32">
        <f>F23/$B$23</f>
        <v>8.2736674622116146E-2</v>
      </c>
      <c r="G24" s="32"/>
      <c r="H24" s="32">
        <f>H23/$B$23</f>
        <v>0.14434461135289439</v>
      </c>
      <c r="I24" s="32"/>
      <c r="J24" s="32">
        <f>J23/$B$23</f>
        <v>0.2520707567036361</v>
      </c>
      <c r="K24" s="32"/>
      <c r="L24" s="33">
        <f>L23/$B$23</f>
        <v>0.19591464270672471</v>
      </c>
      <c r="M24" s="32"/>
      <c r="N24" s="33">
        <f>N23/$B$23</f>
        <v>0.22766624549581169</v>
      </c>
      <c r="O24" s="32"/>
      <c r="P24" s="33">
        <f>P23/$B$23</f>
        <v>8.8656464972623888E-2</v>
      </c>
      <c r="Q24" s="32"/>
      <c r="R24" s="33">
        <f>R23/$B$23</f>
        <v>3.6501474097992417E-3</v>
      </c>
      <c r="S24" s="32"/>
    </row>
  </sheetData>
  <mergeCells count="18">
    <mergeCell ref="R15:S15"/>
    <mergeCell ref="N3:O3"/>
    <mergeCell ref="P3:Q3"/>
    <mergeCell ref="R3:S3"/>
    <mergeCell ref="N15:O15"/>
    <mergeCell ref="H3:I3"/>
    <mergeCell ref="F15:G15"/>
    <mergeCell ref="H15:I15"/>
    <mergeCell ref="J15:K15"/>
    <mergeCell ref="P15:Q15"/>
    <mergeCell ref="L15:M15"/>
    <mergeCell ref="J3:K3"/>
    <mergeCell ref="L3:M3"/>
    <mergeCell ref="B15:C15"/>
    <mergeCell ref="D15:E15"/>
    <mergeCell ref="B3:C3"/>
    <mergeCell ref="D3:E3"/>
    <mergeCell ref="F3:G3"/>
  </mergeCells>
  <phoneticPr fontId="6" type="noConversion"/>
  <pageMargins left="0.15748031496062992" right="0.3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34" sqref="A34"/>
    </sheetView>
  </sheetViews>
  <sheetFormatPr defaultRowHeight="12.75" x14ac:dyDescent="0.2"/>
  <cols>
    <col min="1" max="1" width="22.85546875" customWidth="1"/>
    <col min="2" max="2" width="7.5703125" customWidth="1"/>
    <col min="3" max="3" width="6.7109375" customWidth="1"/>
    <col min="4" max="4" width="6" customWidth="1"/>
    <col min="5" max="5" width="6.5703125" customWidth="1"/>
    <col min="6" max="6" width="5.7109375" customWidth="1"/>
    <col min="7" max="7" width="6.5703125" customWidth="1"/>
    <col min="8" max="8" width="7" customWidth="1"/>
    <col min="9" max="10" width="6.42578125" customWidth="1"/>
    <col min="11" max="11" width="6.28515625" customWidth="1"/>
    <col min="12" max="12" width="6.7109375" customWidth="1"/>
    <col min="13" max="13" width="6.42578125" customWidth="1"/>
    <col min="14" max="14" width="6.7109375" customWidth="1"/>
    <col min="15" max="16" width="6.42578125" customWidth="1"/>
    <col min="17" max="17" width="6.28515625" customWidth="1"/>
    <col min="18" max="18" width="6.85546875" customWidth="1"/>
    <col min="19" max="19" width="7.140625" customWidth="1"/>
  </cols>
  <sheetData>
    <row r="1" spans="1:19" x14ac:dyDescent="0.2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8"/>
      <c r="P1" s="18"/>
      <c r="Q1" s="18"/>
      <c r="R1" s="18"/>
      <c r="S1" s="18"/>
    </row>
    <row r="2" spans="1:19" ht="13.5" thickBot="1" x14ac:dyDescent="0.25">
      <c r="A2" s="8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143</v>
      </c>
      <c r="C5" s="15">
        <f>B5/$B$11</f>
        <v>3.3606730746633452E-3</v>
      </c>
      <c r="D5" s="41">
        <v>1</v>
      </c>
      <c r="E5" s="15">
        <f>D5/$D$11</f>
        <v>6.024096385542169E-3</v>
      </c>
      <c r="F5" s="41">
        <v>6</v>
      </c>
      <c r="G5" s="15">
        <f>F5/$F$11</f>
        <v>1.7133066818960593E-3</v>
      </c>
      <c r="H5" s="41">
        <v>11</v>
      </c>
      <c r="I5" s="15">
        <f>H5/$H$11</f>
        <v>1.746308937926655E-3</v>
      </c>
      <c r="J5" s="41">
        <v>27</v>
      </c>
      <c r="K5" s="15">
        <f>J5/$J$11</f>
        <v>2.6645613342544164E-3</v>
      </c>
      <c r="L5" s="41">
        <v>32</v>
      </c>
      <c r="M5" s="15">
        <f>L5/$L$11</f>
        <v>3.9321700663553696E-3</v>
      </c>
      <c r="N5" s="41">
        <v>44</v>
      </c>
      <c r="O5" s="15">
        <f>N5/$N$11</f>
        <v>4.266459808009309E-3</v>
      </c>
      <c r="P5" s="41">
        <v>20</v>
      </c>
      <c r="Q5" s="15">
        <f>P5/$P$11</f>
        <v>5.2137643378519288E-3</v>
      </c>
      <c r="R5" s="41">
        <v>2</v>
      </c>
      <c r="S5" s="15">
        <f>R5/$R$11</f>
        <v>1.2195121951219513E-2</v>
      </c>
    </row>
    <row r="6" spans="1:19" ht="13.5" thickBot="1" x14ac:dyDescent="0.25">
      <c r="A6" s="42" t="s">
        <v>12</v>
      </c>
      <c r="B6" s="40">
        <f>D6+F6+H6+J6+L6+N6+P6+R6</f>
        <v>9306</v>
      </c>
      <c r="C6" s="16">
        <f>B6/$B$11</f>
        <v>0.21870226316655308</v>
      </c>
      <c r="D6" s="41">
        <v>18</v>
      </c>
      <c r="E6" s="16">
        <f>D6/$D$11</f>
        <v>0.10843373493975904</v>
      </c>
      <c r="F6" s="41">
        <v>189</v>
      </c>
      <c r="G6" s="16">
        <f>F6/$F$11</f>
        <v>5.3969160479725872E-2</v>
      </c>
      <c r="H6" s="41">
        <v>487</v>
      </c>
      <c r="I6" s="16">
        <f>H6/$H$11</f>
        <v>7.7313859342752825E-2</v>
      </c>
      <c r="J6" s="41">
        <v>1563</v>
      </c>
      <c r="K6" s="16">
        <f>J6/$J$11</f>
        <v>0.15424849501628343</v>
      </c>
      <c r="L6" s="41">
        <v>2048</v>
      </c>
      <c r="M6" s="16">
        <f>L6/$L$11</f>
        <v>0.25165888424674365</v>
      </c>
      <c r="N6" s="41">
        <v>3248</v>
      </c>
      <c r="O6" s="16">
        <f>N6/$N$11</f>
        <v>0.31494230582759625</v>
      </c>
      <c r="P6" s="41">
        <v>1670</v>
      </c>
      <c r="Q6" s="16">
        <f>P6/$P$11</f>
        <v>0.4353493222106361</v>
      </c>
      <c r="R6" s="41">
        <v>83</v>
      </c>
      <c r="S6" s="16">
        <f>R6/$R$11</f>
        <v>0.50609756097560976</v>
      </c>
    </row>
    <row r="7" spans="1:19" ht="13.5" thickBot="1" x14ac:dyDescent="0.25">
      <c r="A7" s="43" t="s">
        <v>13</v>
      </c>
      <c r="B7" s="40">
        <f>D7+F7+H7+J7+L7+N7+P7+R7</f>
        <v>16925</v>
      </c>
      <c r="C7" s="16">
        <f>B7/$B$11</f>
        <v>0.39775798453620359</v>
      </c>
      <c r="D7" s="41">
        <v>119</v>
      </c>
      <c r="E7" s="16">
        <f>D7/$D$11</f>
        <v>0.7168674698795181</v>
      </c>
      <c r="F7" s="41">
        <v>1313</v>
      </c>
      <c r="G7" s="16">
        <f>F7/$F$11</f>
        <v>0.37492861222158769</v>
      </c>
      <c r="H7" s="41">
        <v>1700</v>
      </c>
      <c r="I7" s="16">
        <f>H7/$H$11</f>
        <v>0.26988410858866485</v>
      </c>
      <c r="J7" s="41">
        <v>4080</v>
      </c>
      <c r="K7" s="16">
        <f>J7/$J$11</f>
        <v>0.40264482384288958</v>
      </c>
      <c r="L7" s="41">
        <v>3835</v>
      </c>
      <c r="M7" s="16">
        <f>L7/$L$11</f>
        <v>0.47124600638977637</v>
      </c>
      <c r="N7" s="41">
        <v>4482</v>
      </c>
      <c r="O7" s="16">
        <f>N7/$N$11</f>
        <v>0.43459711044313004</v>
      </c>
      <c r="P7" s="41">
        <v>1339</v>
      </c>
      <c r="Q7" s="16">
        <f>P7/$P$11</f>
        <v>0.34906152241918664</v>
      </c>
      <c r="R7" s="41">
        <v>57</v>
      </c>
      <c r="S7" s="16">
        <f>R7/$R$11</f>
        <v>0.34756097560975607</v>
      </c>
    </row>
    <row r="8" spans="1:19" ht="13.5" thickBot="1" x14ac:dyDescent="0.25">
      <c r="A8" s="42" t="s">
        <v>14</v>
      </c>
      <c r="B8" s="40">
        <f>D8+F8+H8+J8+L8+N8+P8+R8</f>
        <v>4730</v>
      </c>
      <c r="C8" s="16">
        <f>B8/$B$11</f>
        <v>0.11116072477732603</v>
      </c>
      <c r="D8" s="41">
        <v>28</v>
      </c>
      <c r="E8" s="16">
        <f>D8/$D$11</f>
        <v>0.16867469879518071</v>
      </c>
      <c r="F8" s="41">
        <v>643</v>
      </c>
      <c r="G8" s="16">
        <f>F8/$F$11</f>
        <v>0.1836093660765277</v>
      </c>
      <c r="H8" s="41">
        <v>671</v>
      </c>
      <c r="I8" s="16">
        <f>H8/$H$11</f>
        <v>0.10652484521352595</v>
      </c>
      <c r="J8" s="41">
        <v>1155</v>
      </c>
      <c r="K8" s="16">
        <f>J8/$J$11</f>
        <v>0.11398401263199448</v>
      </c>
      <c r="L8" s="41">
        <v>876</v>
      </c>
      <c r="M8" s="16">
        <f>L8/$L$11</f>
        <v>0.10764315556647824</v>
      </c>
      <c r="N8" s="41">
        <v>1059</v>
      </c>
      <c r="O8" s="16">
        <f>N8/$N$11</f>
        <v>0.10268593037913314</v>
      </c>
      <c r="P8" s="41">
        <v>296</v>
      </c>
      <c r="Q8" s="16">
        <f>P8/$P$11</f>
        <v>7.7163712200208553E-2</v>
      </c>
      <c r="R8" s="41">
        <v>2</v>
      </c>
      <c r="S8" s="16">
        <f>R8/$R$11</f>
        <v>1.2195121951219513E-2</v>
      </c>
    </row>
    <row r="9" spans="1:19" ht="13.5" thickBot="1" x14ac:dyDescent="0.25">
      <c r="A9" s="43" t="s">
        <v>15</v>
      </c>
      <c r="B9" s="40">
        <f>D9+F9+H9+J9+L9+N9+P9+R9</f>
        <v>11447</v>
      </c>
      <c r="C9" s="17">
        <f>B9/$B$11</f>
        <v>0.2690183544452539</v>
      </c>
      <c r="D9" s="41">
        <v>0</v>
      </c>
      <c r="E9" s="17">
        <f>D9/$D$11</f>
        <v>0</v>
      </c>
      <c r="F9" s="41">
        <v>1351</v>
      </c>
      <c r="G9" s="17">
        <f>F9/$F$11</f>
        <v>0.38577955454026269</v>
      </c>
      <c r="H9" s="41">
        <v>3430</v>
      </c>
      <c r="I9" s="17">
        <f>H9/$H$11</f>
        <v>0.54453087791712973</v>
      </c>
      <c r="J9" s="41">
        <v>3308</v>
      </c>
      <c r="K9" s="17">
        <f>J9/$J$11</f>
        <v>0.32645810717457813</v>
      </c>
      <c r="L9" s="41">
        <v>1347</v>
      </c>
      <c r="M9" s="17">
        <f>L9/$L$11</f>
        <v>0.16551978373064635</v>
      </c>
      <c r="N9" s="41">
        <v>1480</v>
      </c>
      <c r="O9" s="17">
        <f>N9/$N$11</f>
        <v>0.14350819354213129</v>
      </c>
      <c r="P9" s="41">
        <v>511</v>
      </c>
      <c r="Q9" s="17">
        <f>P9/$P$11</f>
        <v>0.13321167883211679</v>
      </c>
      <c r="R9" s="41">
        <v>20</v>
      </c>
      <c r="S9" s="17">
        <f>R9/$R$11</f>
        <v>0.12195121951219512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42551</v>
      </c>
      <c r="C11" s="45">
        <f>B11/$B$11</f>
        <v>1</v>
      </c>
      <c r="D11" s="49">
        <f>SUM(D5:D9)</f>
        <v>166</v>
      </c>
      <c r="E11" s="45">
        <f>D11/$D$11</f>
        <v>1</v>
      </c>
      <c r="F11" s="50">
        <f>SUM(F5:F9)</f>
        <v>3502</v>
      </c>
      <c r="G11" s="45">
        <f>F11/$F$11</f>
        <v>1</v>
      </c>
      <c r="H11" s="50">
        <f>SUM(H5:H9)</f>
        <v>6299</v>
      </c>
      <c r="I11" s="45">
        <f>H11/$H$11</f>
        <v>1</v>
      </c>
      <c r="J11" s="47">
        <f>SUM(J5:J9)</f>
        <v>10133</v>
      </c>
      <c r="K11" s="45">
        <f>J11/$J$11</f>
        <v>1</v>
      </c>
      <c r="L11" s="47">
        <f>SUM(L5:L9)</f>
        <v>8138</v>
      </c>
      <c r="M11" s="45">
        <f>L11/$L$11</f>
        <v>1</v>
      </c>
      <c r="N11" s="47">
        <f>SUM(N5:N9)</f>
        <v>10313</v>
      </c>
      <c r="O11" s="45">
        <f>N11/$N$11</f>
        <v>1</v>
      </c>
      <c r="P11" s="47">
        <f>SUM(P5:P9)</f>
        <v>3836</v>
      </c>
      <c r="Q11" s="45">
        <f>P11/$P$11</f>
        <v>1</v>
      </c>
      <c r="R11" s="47">
        <f>SUM(R5:R9)</f>
        <v>164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3.90120091184696E-3</v>
      </c>
      <c r="E12" s="52"/>
      <c r="F12" s="28">
        <f>F11/$B$11</f>
        <v>8.2301238513783459E-2</v>
      </c>
      <c r="G12" s="52"/>
      <c r="H12" s="28">
        <f>H11/$B$11</f>
        <v>0.14803412375737351</v>
      </c>
      <c r="I12" s="52"/>
      <c r="J12" s="28">
        <f>J11/$B$11</f>
        <v>0.23813776409485088</v>
      </c>
      <c r="K12" s="52"/>
      <c r="L12" s="28">
        <f>L11/$B$11</f>
        <v>0.19125284952175037</v>
      </c>
      <c r="M12" s="52"/>
      <c r="N12" s="28">
        <f>N11/$B$11</f>
        <v>0.24236798195107048</v>
      </c>
      <c r="O12" s="52"/>
      <c r="P12" s="28">
        <f>P11/$B$11</f>
        <v>9.0150642758102043E-2</v>
      </c>
      <c r="Q12" s="52"/>
      <c r="R12" s="28">
        <f>R11/$B$11</f>
        <v>3.8541984912222977E-3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19" ht="15.75" thickBot="1" x14ac:dyDescent="0.3">
      <c r="A17" s="59" t="s">
        <v>11</v>
      </c>
      <c r="B17" s="40">
        <f>D17+F17+H17+J17+L17+N17+P17+R17</f>
        <v>128</v>
      </c>
      <c r="C17" s="60">
        <f>B17/$B$23</f>
        <v>3.4607689395987672E-3</v>
      </c>
      <c r="D17" s="92">
        <v>0</v>
      </c>
      <c r="E17" s="60">
        <f>D17/$B$23</f>
        <v>0</v>
      </c>
      <c r="F17" s="93">
        <v>8</v>
      </c>
      <c r="G17" s="60">
        <f>F17/$B$23</f>
        <v>2.1629805872492295E-4</v>
      </c>
      <c r="H17" s="93">
        <v>11</v>
      </c>
      <c r="I17" s="60">
        <f>H17/$B$23</f>
        <v>2.9740983074676906E-4</v>
      </c>
      <c r="J17" s="93">
        <v>28</v>
      </c>
      <c r="K17" s="60">
        <f>J17/$B$23</f>
        <v>7.5704320553723035E-4</v>
      </c>
      <c r="L17" s="93">
        <v>30</v>
      </c>
      <c r="M17" s="60">
        <f>L17/$B$23</f>
        <v>8.1111772021846102E-4</v>
      </c>
      <c r="N17" s="93">
        <v>33</v>
      </c>
      <c r="O17" s="60">
        <f>N17/$B$23</f>
        <v>8.9222949224030713E-4</v>
      </c>
      <c r="P17" s="93">
        <v>16</v>
      </c>
      <c r="Q17" s="60">
        <f>P17/$B$23</f>
        <v>4.325961174498459E-4</v>
      </c>
      <c r="R17" s="41">
        <v>2</v>
      </c>
      <c r="S17" s="60">
        <f>R17/$B$23</f>
        <v>5.4074514681230737E-5</v>
      </c>
    </row>
    <row r="18" spans="1:19" ht="15.75" thickBot="1" x14ac:dyDescent="0.3">
      <c r="A18" s="61" t="s">
        <v>12</v>
      </c>
      <c r="B18" s="62">
        <f>D18+F18+H18+J18+L18+N18+P18+R18</f>
        <v>8111</v>
      </c>
      <c r="C18" s="63">
        <f t="shared" ref="C18:E21" si="0">B18/$B$23</f>
        <v>0.21929919428973124</v>
      </c>
      <c r="D18" s="92">
        <v>27</v>
      </c>
      <c r="E18" s="63">
        <f t="shared" si="0"/>
        <v>7.3000594819661491E-4</v>
      </c>
      <c r="F18" s="93">
        <v>203</v>
      </c>
      <c r="G18" s="63">
        <f t="shared" ref="G18" si="1">F18/$B$23</f>
        <v>5.4885632401449197E-3</v>
      </c>
      <c r="H18" s="93">
        <v>468</v>
      </c>
      <c r="I18" s="63">
        <f>H18/$B$23</f>
        <v>1.2653436435407991E-2</v>
      </c>
      <c r="J18" s="93">
        <v>1512</v>
      </c>
      <c r="K18" s="63">
        <f t="shared" ref="K18" si="2">J18/$B$23</f>
        <v>4.0880333099010437E-2</v>
      </c>
      <c r="L18" s="93">
        <v>1714</v>
      </c>
      <c r="M18" s="63">
        <f t="shared" ref="M18" si="3">L18/$B$23</f>
        <v>4.6341859081814742E-2</v>
      </c>
      <c r="N18" s="93">
        <v>2608</v>
      </c>
      <c r="O18" s="63">
        <f t="shared" ref="O18" si="4">N18/$B$23</f>
        <v>7.0513167144324873E-2</v>
      </c>
      <c r="P18" s="93">
        <v>1483</v>
      </c>
      <c r="Q18" s="63">
        <f t="shared" ref="Q18" si="5">P18/$B$23</f>
        <v>4.009625263613259E-2</v>
      </c>
      <c r="R18" s="41">
        <v>96</v>
      </c>
      <c r="S18" s="63">
        <f t="shared" ref="S18" si="6">R18/$B$23</f>
        <v>2.5955767046990752E-3</v>
      </c>
    </row>
    <row r="19" spans="1:19" ht="15.75" thickBot="1" x14ac:dyDescent="0.3">
      <c r="A19" s="29" t="s">
        <v>13</v>
      </c>
      <c r="B19" s="62">
        <f>D19+F19+H19+J19+L19+N19+P19+R19</f>
        <v>14402</v>
      </c>
      <c r="C19" s="63">
        <f t="shared" si="0"/>
        <v>0.38939058021954254</v>
      </c>
      <c r="D19" s="92">
        <v>115</v>
      </c>
      <c r="E19" s="63">
        <f t="shared" si="0"/>
        <v>3.1092845941707672E-3</v>
      </c>
      <c r="F19" s="93">
        <v>1007</v>
      </c>
      <c r="G19" s="63">
        <f t="shared" ref="G19" si="7">F19/$B$23</f>
        <v>2.7226518141999674E-2</v>
      </c>
      <c r="H19" s="93">
        <v>1340</v>
      </c>
      <c r="I19" s="63">
        <f>H19/$B$23</f>
        <v>3.6229924836424593E-2</v>
      </c>
      <c r="J19" s="93">
        <v>3480</v>
      </c>
      <c r="K19" s="63">
        <f t="shared" ref="K19" si="8">J19/$B$23</f>
        <v>9.4089655545341475E-2</v>
      </c>
      <c r="L19" s="93">
        <v>3273</v>
      </c>
      <c r="M19" s="63">
        <f t="shared" ref="M19" si="9">L19/$B$23</f>
        <v>8.8492943275834096E-2</v>
      </c>
      <c r="N19" s="93">
        <v>3865</v>
      </c>
      <c r="O19" s="63">
        <f t="shared" ref="O19" si="10">N19/$B$23</f>
        <v>0.10449899962147839</v>
      </c>
      <c r="P19" s="93">
        <v>1260</v>
      </c>
      <c r="Q19" s="63">
        <f t="shared" ref="Q19" si="11">P19/$B$23</f>
        <v>3.4066944249175363E-2</v>
      </c>
      <c r="R19" s="41">
        <v>62</v>
      </c>
      <c r="S19" s="63">
        <f t="shared" ref="S19" si="12">R19/$B$23</f>
        <v>1.6763099551181527E-3</v>
      </c>
    </row>
    <row r="20" spans="1:19" ht="15.75" thickBot="1" x14ac:dyDescent="0.3">
      <c r="A20" s="61" t="s">
        <v>14</v>
      </c>
      <c r="B20" s="62">
        <f>D20+F20+H20+J20+L20+N20+P20+R20</f>
        <v>3898</v>
      </c>
      <c r="C20" s="63">
        <f t="shared" si="0"/>
        <v>0.1053912291137187</v>
      </c>
      <c r="D20" s="92">
        <v>33</v>
      </c>
      <c r="E20" s="63">
        <f t="shared" si="0"/>
        <v>8.9222949224030713E-4</v>
      </c>
      <c r="F20" s="93">
        <v>473</v>
      </c>
      <c r="G20" s="63">
        <f t="shared" ref="G20" si="13">F20/$B$23</f>
        <v>1.2788622722111068E-2</v>
      </c>
      <c r="H20" s="93">
        <v>529</v>
      </c>
      <c r="I20" s="63">
        <f>H20/$B$23</f>
        <v>1.4302709133185529E-2</v>
      </c>
      <c r="J20" s="93">
        <v>971</v>
      </c>
      <c r="K20" s="63">
        <f t="shared" ref="K20" si="14">J20/$B$23</f>
        <v>2.6253176877737521E-2</v>
      </c>
      <c r="L20" s="93">
        <v>735</v>
      </c>
      <c r="M20" s="63">
        <f t="shared" ref="M20" si="15">L20/$B$23</f>
        <v>1.9872384145352296E-2</v>
      </c>
      <c r="N20" s="93">
        <v>885</v>
      </c>
      <c r="O20" s="63">
        <f t="shared" ref="O20" si="16">N20/$B$23</f>
        <v>2.3927972746444599E-2</v>
      </c>
      <c r="P20" s="93">
        <v>264</v>
      </c>
      <c r="Q20" s="63">
        <f t="shared" ref="Q20" si="17">P20/$B$23</f>
        <v>7.1378359379224571E-3</v>
      </c>
      <c r="R20" s="41">
        <v>8</v>
      </c>
      <c r="S20" s="63">
        <f t="shared" ref="S20" si="18">R20/$B$23</f>
        <v>2.1629805872492295E-4</v>
      </c>
    </row>
    <row r="21" spans="1:19" ht="13.5" thickBot="1" x14ac:dyDescent="0.25">
      <c r="A21" s="29" t="s">
        <v>15</v>
      </c>
      <c r="B21" s="64">
        <f>D21+F21+H21+J21+L21+N21+P21+R21</f>
        <v>10447</v>
      </c>
      <c r="C21" s="65">
        <f t="shared" si="0"/>
        <v>0.28245822743740873</v>
      </c>
      <c r="D21" s="92">
        <v>0</v>
      </c>
      <c r="E21" s="65">
        <f t="shared" si="0"/>
        <v>0</v>
      </c>
      <c r="F21" s="94">
        <f>349+848</f>
        <v>1197</v>
      </c>
      <c r="G21" s="65">
        <f t="shared" ref="G21" si="19">F21/$B$23</f>
        <v>3.2363597036716596E-2</v>
      </c>
      <c r="H21" s="94">
        <f>514+2442</f>
        <v>2956</v>
      </c>
      <c r="I21" s="65">
        <f>H21/$B$23</f>
        <v>7.9922132698859033E-2</v>
      </c>
      <c r="J21" s="94">
        <f>910+2389</f>
        <v>3299</v>
      </c>
      <c r="K21" s="65">
        <f t="shared" ref="K21" si="20">J21/$B$23</f>
        <v>8.9195911966690106E-2</v>
      </c>
      <c r="L21" s="94">
        <f>593+699</f>
        <v>1292</v>
      </c>
      <c r="M21" s="65">
        <f t="shared" ref="M21" si="21">L21/$B$23</f>
        <v>3.4932136484075053E-2</v>
      </c>
      <c r="N21" s="94">
        <f>558+664</f>
        <v>1222</v>
      </c>
      <c r="O21" s="65">
        <f t="shared" ref="O21" si="22">N21/$B$23</f>
        <v>3.3039528470231977E-2</v>
      </c>
      <c r="P21" s="94">
        <f>179+282</f>
        <v>461</v>
      </c>
      <c r="Q21" s="65">
        <f t="shared" ref="Q21" si="23">P21/$B$23</f>
        <v>1.2464175634023685E-2</v>
      </c>
      <c r="R21" s="41">
        <v>20</v>
      </c>
      <c r="S21" s="65">
        <f t="shared" ref="S21" si="24">R21/$B$23</f>
        <v>5.4074514681230735E-4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SUM(B17:B21)</f>
        <v>36986</v>
      </c>
      <c r="C23" s="67">
        <f>B23/$B$23</f>
        <v>1</v>
      </c>
      <c r="D23" s="71">
        <f>SUM(D17:D21)</f>
        <v>175</v>
      </c>
      <c r="E23" s="67">
        <f>D23/$B$23</f>
        <v>4.7315200346076895E-3</v>
      </c>
      <c r="F23" s="71">
        <f>SUM(F17:F21)</f>
        <v>2888</v>
      </c>
      <c r="G23" s="67">
        <f>F23/$B$23</f>
        <v>7.8083599199697179E-2</v>
      </c>
      <c r="H23" s="50">
        <f>SUM(H17:H21)</f>
        <v>5304</v>
      </c>
      <c r="I23" s="67">
        <f>H23/$B$23</f>
        <v>0.14340561293462392</v>
      </c>
      <c r="J23" s="71">
        <f>SUM(J17:J21)</f>
        <v>9290</v>
      </c>
      <c r="K23" s="67">
        <f>J23/$B$23</f>
        <v>0.25117612069431677</v>
      </c>
      <c r="L23" s="50">
        <f>SUM(L17:L21)</f>
        <v>7044</v>
      </c>
      <c r="M23" s="67">
        <f>L23/$B$23</f>
        <v>0.19045044070729467</v>
      </c>
      <c r="N23" s="50">
        <f>SUM(N17:N21)</f>
        <v>8613</v>
      </c>
      <c r="O23" s="67">
        <f>N23/$B$23</f>
        <v>0.23287189747472017</v>
      </c>
      <c r="P23" s="50">
        <f>SUM(P17:P21)</f>
        <v>3484</v>
      </c>
      <c r="Q23" s="67">
        <f>P23/$B$23</f>
        <v>9.4197804574703947E-2</v>
      </c>
      <c r="R23" s="50">
        <f>SUM(R17:R21)</f>
        <v>188</v>
      </c>
      <c r="S23" s="67">
        <f>R23/$B$23</f>
        <v>5.083004380035689E-3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4.7315200346076895E-3</v>
      </c>
      <c r="E24" s="32"/>
      <c r="F24" s="32">
        <f>F23/$B$23</f>
        <v>7.8083599199697179E-2</v>
      </c>
      <c r="G24" s="32"/>
      <c r="H24" s="32">
        <f>H23/$B$23</f>
        <v>0.14340561293462392</v>
      </c>
      <c r="I24" s="32"/>
      <c r="J24" s="32">
        <f>J23/$B$23</f>
        <v>0.25117612069431677</v>
      </c>
      <c r="K24" s="32"/>
      <c r="L24" s="33">
        <f>L23/$B$23</f>
        <v>0.19045044070729467</v>
      </c>
      <c r="M24" s="32"/>
      <c r="N24" s="33">
        <f>N23/$B$23</f>
        <v>0.23287189747472017</v>
      </c>
      <c r="O24" s="32"/>
      <c r="P24" s="33">
        <f>P23/$B$23</f>
        <v>9.4197804574703947E-2</v>
      </c>
      <c r="Q24" s="32"/>
      <c r="R24" s="33">
        <f>R23/$B$23</f>
        <v>5.083004380035689E-3</v>
      </c>
      <c r="S24" s="32"/>
    </row>
  </sheetData>
  <mergeCells count="18">
    <mergeCell ref="L3:M3"/>
    <mergeCell ref="P15:Q15"/>
    <mergeCell ref="R15:S15"/>
    <mergeCell ref="N3:O3"/>
    <mergeCell ref="P3:Q3"/>
    <mergeCell ref="R3:S3"/>
    <mergeCell ref="L15:M15"/>
    <mergeCell ref="N15:O15"/>
    <mergeCell ref="J15:K15"/>
    <mergeCell ref="B3:C3"/>
    <mergeCell ref="D3:E3"/>
    <mergeCell ref="F3:G3"/>
    <mergeCell ref="H3:I3"/>
    <mergeCell ref="J3:K3"/>
    <mergeCell ref="B15:C15"/>
    <mergeCell ref="D15:E15"/>
    <mergeCell ref="F15:G15"/>
    <mergeCell ref="H15:I15"/>
  </mergeCells>
  <phoneticPr fontId="6" type="noConversion"/>
  <pageMargins left="0.15" right="0.1400000000000000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X27" sqref="X27"/>
    </sheetView>
  </sheetViews>
  <sheetFormatPr defaultRowHeight="12.75" x14ac:dyDescent="0.2"/>
  <cols>
    <col min="1" max="1" width="21.85546875" customWidth="1"/>
    <col min="2" max="2" width="6.5703125" customWidth="1"/>
    <col min="3" max="3" width="5.28515625" customWidth="1"/>
    <col min="4" max="4" width="5.42578125" customWidth="1"/>
    <col min="5" max="6" width="5.28515625" customWidth="1"/>
    <col min="7" max="10" width="5.42578125" customWidth="1"/>
    <col min="11" max="11" width="5.28515625" customWidth="1"/>
    <col min="12" max="12" width="5.85546875" customWidth="1"/>
    <col min="13" max="13" width="5.42578125" customWidth="1"/>
    <col min="14" max="14" width="6.5703125" customWidth="1"/>
    <col min="15" max="15" width="5.7109375" customWidth="1"/>
    <col min="16" max="16" width="6.28515625" customWidth="1"/>
    <col min="17" max="17" width="6.5703125" customWidth="1"/>
    <col min="18" max="18" width="5.85546875" customWidth="1"/>
    <col min="19" max="19" width="6.5703125" customWidth="1"/>
  </cols>
  <sheetData>
    <row r="1" spans="1:19" x14ac:dyDescent="0.2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 thickBo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3.5" thickBot="1" x14ac:dyDescent="0.25">
      <c r="A5" s="39" t="s">
        <v>11</v>
      </c>
      <c r="B5" s="40">
        <f t="shared" ref="B5:B9" si="0">D5+F5+H5+J5+L5+N5+P5+R5</f>
        <v>133</v>
      </c>
      <c r="C5" s="15">
        <f>B5/$B$11</f>
        <v>3.3524904214559388E-3</v>
      </c>
      <c r="D5" s="41">
        <v>1</v>
      </c>
      <c r="E5" s="15">
        <f>D5/$D$11</f>
        <v>6.2893081761006293E-3</v>
      </c>
      <c r="F5" s="41">
        <v>7</v>
      </c>
      <c r="G5" s="15">
        <f>F5/$F$11</f>
        <v>2.1432945499081446E-3</v>
      </c>
      <c r="H5" s="41">
        <v>10</v>
      </c>
      <c r="I5" s="15">
        <f>H5/$H$11</f>
        <v>1.6515276630883566E-3</v>
      </c>
      <c r="J5" s="41">
        <v>25</v>
      </c>
      <c r="K5" s="15">
        <f>J5/$J$11</f>
        <v>2.6499894000424E-3</v>
      </c>
      <c r="L5" s="41">
        <v>28</v>
      </c>
      <c r="M5" s="15">
        <f>L5/$L$11</f>
        <v>3.8058991436726928E-3</v>
      </c>
      <c r="N5" s="41">
        <v>41</v>
      </c>
      <c r="O5" s="15">
        <f>N5/$N$11</f>
        <v>4.3049139017219658E-3</v>
      </c>
      <c r="P5" s="41">
        <v>20</v>
      </c>
      <c r="Q5" s="15">
        <f>P5/$P$11</f>
        <v>5.3966540744738263E-3</v>
      </c>
      <c r="R5" s="41">
        <v>1</v>
      </c>
      <c r="S5" s="15">
        <f>R5/$R$11</f>
        <v>5.8479532163742687E-3</v>
      </c>
    </row>
    <row r="6" spans="1:19" ht="13.5" thickBot="1" x14ac:dyDescent="0.25">
      <c r="A6" s="42" t="s">
        <v>12</v>
      </c>
      <c r="B6" s="40">
        <f t="shared" si="0"/>
        <v>8259</v>
      </c>
      <c r="C6" s="16">
        <f>B6/$B$11</f>
        <v>0.20818209316394434</v>
      </c>
      <c r="D6" s="41">
        <v>19</v>
      </c>
      <c r="E6" s="16">
        <f>D6/$D$11</f>
        <v>0.11949685534591195</v>
      </c>
      <c r="F6" s="41">
        <v>169</v>
      </c>
      <c r="G6" s="16">
        <f>F6/$F$11</f>
        <v>5.1745254133496635E-2</v>
      </c>
      <c r="H6" s="41">
        <v>397</v>
      </c>
      <c r="I6" s="16">
        <f>H6/$H$11</f>
        <v>6.5565648224607767E-2</v>
      </c>
      <c r="J6" s="41">
        <v>1363</v>
      </c>
      <c r="K6" s="16">
        <f>J6/$J$11</f>
        <v>0.14447742209031164</v>
      </c>
      <c r="L6" s="41">
        <v>1754</v>
      </c>
      <c r="M6" s="16">
        <f>L6/$L$11</f>
        <v>0.23841239635721082</v>
      </c>
      <c r="N6" s="41">
        <v>2883</v>
      </c>
      <c r="O6" s="16">
        <f>N6/$N$11</f>
        <v>0.3027089458210836</v>
      </c>
      <c r="P6" s="41">
        <v>1588</v>
      </c>
      <c r="Q6" s="16">
        <f>P6/$P$11</f>
        <v>0.4284943335132218</v>
      </c>
      <c r="R6" s="41">
        <v>86</v>
      </c>
      <c r="S6" s="16">
        <f>R6/$R$11</f>
        <v>0.50292397660818711</v>
      </c>
    </row>
    <row r="7" spans="1:19" ht="13.5" thickBot="1" x14ac:dyDescent="0.25">
      <c r="A7" s="43" t="s">
        <v>13</v>
      </c>
      <c r="B7" s="40">
        <f t="shared" si="0"/>
        <v>15497</v>
      </c>
      <c r="C7" s="16">
        <f>B7/$B$11</f>
        <v>0.39062815083686225</v>
      </c>
      <c r="D7" s="41">
        <v>110</v>
      </c>
      <c r="E7" s="16">
        <f>D7/$D$11</f>
        <v>0.69182389937106914</v>
      </c>
      <c r="F7" s="41">
        <v>1200</v>
      </c>
      <c r="G7" s="16">
        <f>F7/$F$11</f>
        <v>0.36742192284139619</v>
      </c>
      <c r="H7" s="41">
        <v>1569</v>
      </c>
      <c r="I7" s="16">
        <f>H7/$H$11</f>
        <v>0.25912469033856317</v>
      </c>
      <c r="J7" s="41">
        <v>3627</v>
      </c>
      <c r="K7" s="16">
        <f>J7/$J$11</f>
        <v>0.38446046215815138</v>
      </c>
      <c r="L7" s="41">
        <v>3470</v>
      </c>
      <c r="M7" s="16">
        <f>L7/$L$11</f>
        <v>0.4716596438765801</v>
      </c>
      <c r="N7" s="41">
        <v>4156</v>
      </c>
      <c r="O7" s="16">
        <f>N7/$N$11</f>
        <v>0.4363712725745485</v>
      </c>
      <c r="P7" s="41">
        <v>1306</v>
      </c>
      <c r="Q7" s="16">
        <f>P7/$P$11</f>
        <v>0.35240151106314083</v>
      </c>
      <c r="R7" s="41">
        <v>59</v>
      </c>
      <c r="S7" s="16">
        <f>R7/$R$11</f>
        <v>0.34502923976608185</v>
      </c>
    </row>
    <row r="8" spans="1:19" ht="13.5" thickBot="1" x14ac:dyDescent="0.25">
      <c r="A8" s="42" t="s">
        <v>14</v>
      </c>
      <c r="B8" s="40">
        <f t="shared" si="0"/>
        <v>4288</v>
      </c>
      <c r="C8" s="16">
        <f>B8/$B$11</f>
        <v>0.10808630772333132</v>
      </c>
      <c r="D8" s="41">
        <v>26</v>
      </c>
      <c r="E8" s="16">
        <f>D8/$D$11</f>
        <v>0.16352201257861634</v>
      </c>
      <c r="F8" s="41">
        <v>572</v>
      </c>
      <c r="G8" s="16">
        <f>F8/$F$11</f>
        <v>0.17513778322106552</v>
      </c>
      <c r="H8" s="41">
        <v>599</v>
      </c>
      <c r="I8" s="16">
        <f>H8/$H$11</f>
        <v>9.8926507018992568E-2</v>
      </c>
      <c r="J8" s="41">
        <v>1039</v>
      </c>
      <c r="K8" s="16">
        <f>J8/$J$11</f>
        <v>0.11013355946576214</v>
      </c>
      <c r="L8" s="41">
        <v>769</v>
      </c>
      <c r="M8" s="16">
        <f>L8/$L$11</f>
        <v>0.10452630148158217</v>
      </c>
      <c r="N8" s="41">
        <v>996</v>
      </c>
      <c r="O8" s="16">
        <f>N8/$N$11</f>
        <v>0.10457790844183117</v>
      </c>
      <c r="P8" s="41">
        <v>284</v>
      </c>
      <c r="Q8" s="16">
        <f>P8/$P$11</f>
        <v>7.6632487857528339E-2</v>
      </c>
      <c r="R8" s="41">
        <v>3</v>
      </c>
      <c r="S8" s="16">
        <f>R8/$R$11</f>
        <v>1.7543859649122806E-2</v>
      </c>
    </row>
    <row r="9" spans="1:19" ht="13.5" thickBot="1" x14ac:dyDescent="0.25">
      <c r="A9" s="43" t="s">
        <v>15</v>
      </c>
      <c r="B9" s="40">
        <f t="shared" si="0"/>
        <v>11495</v>
      </c>
      <c r="C9" s="17">
        <f>B9/$B$11</f>
        <v>0.28975095785440613</v>
      </c>
      <c r="D9" s="41">
        <v>3</v>
      </c>
      <c r="E9" s="17">
        <f>D9/$D$11</f>
        <v>1.8867924528301886E-2</v>
      </c>
      <c r="F9" s="41">
        <v>1318</v>
      </c>
      <c r="G9" s="17">
        <f>F9/$F$11</f>
        <v>0.40355174525413351</v>
      </c>
      <c r="H9" s="41">
        <v>3480</v>
      </c>
      <c r="I9" s="17">
        <f>H9/$H$11</f>
        <v>0.57473162675474809</v>
      </c>
      <c r="J9" s="41">
        <v>3380</v>
      </c>
      <c r="K9" s="17">
        <f>J9/$J$11</f>
        <v>0.35827856688573245</v>
      </c>
      <c r="L9" s="41">
        <v>1336</v>
      </c>
      <c r="M9" s="17">
        <f>L9/$L$11</f>
        <v>0.18159575914095419</v>
      </c>
      <c r="N9" s="41">
        <v>1448</v>
      </c>
      <c r="O9" s="17">
        <f>N9/$N$11</f>
        <v>0.15203695926081479</v>
      </c>
      <c r="P9" s="41">
        <v>508</v>
      </c>
      <c r="Q9" s="17">
        <f>P9/$P$11</f>
        <v>0.13707501349163517</v>
      </c>
      <c r="R9" s="41">
        <v>22</v>
      </c>
      <c r="S9" s="17">
        <f>R9/$R$11</f>
        <v>0.12865497076023391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D11+F11+H11+J11+L11+N11+P11+R11</f>
        <v>39672</v>
      </c>
      <c r="C11" s="45">
        <f>B11/$B$11</f>
        <v>1</v>
      </c>
      <c r="D11" s="49">
        <f>SUM(D5:D9)</f>
        <v>159</v>
      </c>
      <c r="E11" s="45">
        <f>D11/$D$11</f>
        <v>1</v>
      </c>
      <c r="F11" s="50">
        <f>SUM(F5:F9)</f>
        <v>3266</v>
      </c>
      <c r="G11" s="45">
        <f>F11/$F$11</f>
        <v>1</v>
      </c>
      <c r="H11" s="50">
        <f>SUM(H5:H9)</f>
        <v>6055</v>
      </c>
      <c r="I11" s="45">
        <f>H11/$H$11</f>
        <v>1</v>
      </c>
      <c r="J11" s="47">
        <f>SUM(J5:J9)</f>
        <v>9434</v>
      </c>
      <c r="K11" s="45">
        <f>J11/$J$11</f>
        <v>1</v>
      </c>
      <c r="L11" s="47">
        <f>SUM(L5:L9)</f>
        <v>7357</v>
      </c>
      <c r="M11" s="45">
        <f>L11/$L$11</f>
        <v>1</v>
      </c>
      <c r="N11" s="47">
        <f>SUM(N5:N9)</f>
        <v>9524</v>
      </c>
      <c r="O11" s="45">
        <f>N11/$N$11</f>
        <v>1</v>
      </c>
      <c r="P11" s="47">
        <f>SUM(P5:P9)</f>
        <v>3706</v>
      </c>
      <c r="Q11" s="45">
        <f>P11/$P$11</f>
        <v>1</v>
      </c>
      <c r="R11" s="47">
        <f>SUM(R5:R9)</f>
        <v>171</v>
      </c>
      <c r="S11" s="45">
        <f>R11/$R$11</f>
        <v>1</v>
      </c>
    </row>
    <row r="12" spans="1:19" ht="13.5" thickBot="1" x14ac:dyDescent="0.25">
      <c r="A12" s="51" t="s">
        <v>17</v>
      </c>
      <c r="B12" s="52">
        <v>1</v>
      </c>
      <c r="C12" s="52"/>
      <c r="D12" s="27">
        <f>D11/$B$11</f>
        <v>4.0078644888082273E-3</v>
      </c>
      <c r="E12" s="52"/>
      <c r="F12" s="28">
        <f>F11/$B$11</f>
        <v>8.2325065537406733E-2</v>
      </c>
      <c r="G12" s="52"/>
      <c r="H12" s="28">
        <f>H11/$B$11</f>
        <v>0.15262653760838879</v>
      </c>
      <c r="I12" s="52"/>
      <c r="J12" s="28">
        <f>J11/$B$11</f>
        <v>0.23779995966928816</v>
      </c>
      <c r="K12" s="52"/>
      <c r="L12" s="28">
        <f>L11/$B$11</f>
        <v>0.18544565436579954</v>
      </c>
      <c r="M12" s="52"/>
      <c r="N12" s="28">
        <f>N11/$B$11</f>
        <v>0.24006856221012302</v>
      </c>
      <c r="O12" s="52"/>
      <c r="P12" s="28">
        <f>P11/$B$11</f>
        <v>9.3416011292599313E-2</v>
      </c>
      <c r="Q12" s="52"/>
      <c r="R12" s="28">
        <f>R11/$B$11</f>
        <v>4.3103448275862068E-3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113</v>
      </c>
      <c r="C17" s="60">
        <f>B17/B23</f>
        <v>3.3189414632713602E-3</v>
      </c>
      <c r="D17" s="95">
        <v>0</v>
      </c>
      <c r="E17" s="60">
        <f>D17/D23</f>
        <v>0</v>
      </c>
      <c r="F17" s="96">
        <v>10</v>
      </c>
      <c r="G17" s="60">
        <f>F17/F23</f>
        <v>3.9047247169074579E-3</v>
      </c>
      <c r="H17" s="96">
        <v>8</v>
      </c>
      <c r="I17" s="60">
        <f>H17/H23</f>
        <v>1.6313213703099511E-3</v>
      </c>
      <c r="J17" s="96">
        <v>25</v>
      </c>
      <c r="K17" s="60">
        <f>J17/J23</f>
        <v>2.8775322283609577E-3</v>
      </c>
      <c r="L17" s="96">
        <v>25</v>
      </c>
      <c r="M17" s="60">
        <f>L17/L23</f>
        <v>3.9382482671707622E-3</v>
      </c>
      <c r="N17" s="96">
        <v>28</v>
      </c>
      <c r="O17" s="60">
        <f>N17/N23</f>
        <v>3.5425101214574899E-3</v>
      </c>
      <c r="P17" s="96">
        <v>15</v>
      </c>
      <c r="Q17" s="60">
        <f>P17/P23</f>
        <v>4.5045045045045045E-3</v>
      </c>
      <c r="R17" s="96">
        <v>2</v>
      </c>
      <c r="S17" s="60">
        <f>R17/R23</f>
        <v>1.0869565217391304E-2</v>
      </c>
    </row>
    <row r="18" spans="1:19" ht="15" x14ac:dyDescent="0.25">
      <c r="A18" s="61" t="s">
        <v>12</v>
      </c>
      <c r="B18" s="62">
        <f>D18+F18+H18+J18+L18+N18+P18+R18</f>
        <v>7231</v>
      </c>
      <c r="C18" s="63">
        <f>B18/B23</f>
        <v>0.21238288248597528</v>
      </c>
      <c r="D18" s="95">
        <v>29</v>
      </c>
      <c r="E18" s="63">
        <f>D18/D23</f>
        <v>0.2265625</v>
      </c>
      <c r="F18" s="96">
        <v>191</v>
      </c>
      <c r="G18" s="63">
        <f>F18/F23</f>
        <v>7.4580242092932444E-2</v>
      </c>
      <c r="H18" s="96">
        <v>417</v>
      </c>
      <c r="I18" s="63">
        <f>H18/H23</f>
        <v>8.5032626427406194E-2</v>
      </c>
      <c r="J18" s="96">
        <v>1371</v>
      </c>
      <c r="K18" s="63">
        <f>J18/J23</f>
        <v>0.15780386740331492</v>
      </c>
      <c r="L18" s="96">
        <v>1468</v>
      </c>
      <c r="M18" s="63">
        <f>L18/L23</f>
        <v>0.23125393824826718</v>
      </c>
      <c r="N18" s="96">
        <v>2260</v>
      </c>
      <c r="O18" s="63">
        <f>N18/N23</f>
        <v>0.28593117408906882</v>
      </c>
      <c r="P18" s="96">
        <v>1398</v>
      </c>
      <c r="Q18" s="63">
        <f>P18/P23</f>
        <v>0.41981981981981981</v>
      </c>
      <c r="R18" s="96">
        <v>97</v>
      </c>
      <c r="S18" s="63">
        <f>R18/R23</f>
        <v>0.52717391304347827</v>
      </c>
    </row>
    <row r="19" spans="1:19" ht="15" x14ac:dyDescent="0.25">
      <c r="A19" s="29" t="s">
        <v>13</v>
      </c>
      <c r="B19" s="62">
        <f>D19+F19+H19+J19+L19+N19+P19+R19</f>
        <v>13099</v>
      </c>
      <c r="C19" s="63">
        <f>B19/B23</f>
        <v>0.38473286926895173</v>
      </c>
      <c r="D19" s="95">
        <v>79</v>
      </c>
      <c r="E19" s="63">
        <f>D19/D23</f>
        <v>0.6171875</v>
      </c>
      <c r="F19" s="96">
        <v>892</v>
      </c>
      <c r="G19" s="63">
        <f>F19/F23</f>
        <v>0.34830144474814523</v>
      </c>
      <c r="H19" s="96">
        <v>1189</v>
      </c>
      <c r="I19" s="63">
        <f>H19/H23</f>
        <v>0.24245513866231647</v>
      </c>
      <c r="J19" s="96">
        <v>3144</v>
      </c>
      <c r="K19" s="63">
        <f>J19/J23</f>
        <v>0.36187845303867405</v>
      </c>
      <c r="L19" s="96">
        <v>2926</v>
      </c>
      <c r="M19" s="63">
        <f>L19/L23</f>
        <v>0.46093257718966602</v>
      </c>
      <c r="N19" s="96">
        <v>3589</v>
      </c>
      <c r="O19" s="63">
        <f>N19/N23</f>
        <v>0.45407388663967613</v>
      </c>
      <c r="P19" s="96">
        <v>1221</v>
      </c>
      <c r="Q19" s="63">
        <f>P19/P23</f>
        <v>0.36666666666666664</v>
      </c>
      <c r="R19" s="96">
        <v>59</v>
      </c>
      <c r="S19" s="63">
        <f>R19/R23</f>
        <v>0.32065217391304346</v>
      </c>
    </row>
    <row r="20" spans="1:19" ht="15" x14ac:dyDescent="0.25">
      <c r="A20" s="61" t="s">
        <v>14</v>
      </c>
      <c r="B20" s="62">
        <f>D20+F20+H20+J20+L20+N20+P20+R20</f>
        <v>3491</v>
      </c>
      <c r="C20" s="63">
        <f>B20/B23</f>
        <v>0.10253473140071079</v>
      </c>
      <c r="D20" s="95">
        <v>20</v>
      </c>
      <c r="E20" s="63">
        <f>D20/D23</f>
        <v>0.15625</v>
      </c>
      <c r="F20" s="96">
        <v>418</v>
      </c>
      <c r="G20" s="63">
        <f>F20/F23</f>
        <v>0.16321749316673176</v>
      </c>
      <c r="H20" s="96">
        <v>452</v>
      </c>
      <c r="I20" s="63">
        <f>H20/H23</f>
        <v>9.2169657422512236E-2</v>
      </c>
      <c r="J20" s="96">
        <v>864</v>
      </c>
      <c r="K20" s="63">
        <f>J20/J23</f>
        <v>9.9447513812154692E-2</v>
      </c>
      <c r="L20" s="96">
        <v>641</v>
      </c>
      <c r="M20" s="63">
        <f>L20/L23</f>
        <v>0.10097668557025835</v>
      </c>
      <c r="N20" s="96">
        <v>833</v>
      </c>
      <c r="O20" s="63">
        <f>N20/N23</f>
        <v>0.10538967611336032</v>
      </c>
      <c r="P20" s="96">
        <v>253</v>
      </c>
      <c r="Q20" s="63">
        <f>P20/P23</f>
        <v>7.5975975975975982E-2</v>
      </c>
      <c r="R20" s="96">
        <v>10</v>
      </c>
      <c r="S20" s="63">
        <f>R20/R23</f>
        <v>5.434782608695652E-2</v>
      </c>
    </row>
    <row r="21" spans="1:19" ht="13.5" thickBot="1" x14ac:dyDescent="0.25">
      <c r="A21" s="29" t="s">
        <v>15</v>
      </c>
      <c r="B21" s="64">
        <f>D21+F21+H21+J21+L21+N21+P21+R21</f>
        <v>10113</v>
      </c>
      <c r="C21" s="65">
        <f>B21/B23</f>
        <v>0.29703057538109084</v>
      </c>
      <c r="D21" s="95">
        <v>0</v>
      </c>
      <c r="E21" s="65">
        <f>D21/D23</f>
        <v>0</v>
      </c>
      <c r="F21" s="97">
        <f>324+726</f>
        <v>1050</v>
      </c>
      <c r="G21" s="65">
        <f>F21/F23</f>
        <v>0.40999609527528308</v>
      </c>
      <c r="H21" s="97">
        <f>480+2358</f>
        <v>2838</v>
      </c>
      <c r="I21" s="65">
        <f>H21/H23</f>
        <v>0.57871125611745511</v>
      </c>
      <c r="J21" s="97">
        <f>860+2424</f>
        <v>3284</v>
      </c>
      <c r="K21" s="65">
        <f>J21/J23</f>
        <v>0.3779926335174954</v>
      </c>
      <c r="L21" s="97">
        <f>572+716</f>
        <v>1288</v>
      </c>
      <c r="M21" s="65">
        <f>L21/L23</f>
        <v>0.20289855072463769</v>
      </c>
      <c r="N21" s="97">
        <f>544+650</f>
        <v>1194</v>
      </c>
      <c r="O21" s="65">
        <f>N21/N23</f>
        <v>0.15106275303643724</v>
      </c>
      <c r="P21" s="97">
        <f>171+272</f>
        <v>443</v>
      </c>
      <c r="Q21" s="65">
        <f>P21/P23</f>
        <v>0.13303303303303304</v>
      </c>
      <c r="R21" s="97">
        <v>16</v>
      </c>
      <c r="S21" s="65">
        <f>R21/R23</f>
        <v>8.6956521739130432E-2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34047</v>
      </c>
      <c r="C23" s="67">
        <f t="shared" ref="C23:S23" si="1">SUM(C17:C21)</f>
        <v>1</v>
      </c>
      <c r="D23" s="71">
        <f t="shared" si="1"/>
        <v>128</v>
      </c>
      <c r="E23" s="67">
        <f t="shared" si="1"/>
        <v>1</v>
      </c>
      <c r="F23" s="71">
        <f t="shared" si="1"/>
        <v>2561</v>
      </c>
      <c r="G23" s="67">
        <f t="shared" si="1"/>
        <v>1</v>
      </c>
      <c r="H23" s="50">
        <f t="shared" si="1"/>
        <v>4904</v>
      </c>
      <c r="I23" s="67">
        <f t="shared" si="1"/>
        <v>1</v>
      </c>
      <c r="J23" s="71">
        <f t="shared" si="1"/>
        <v>8688</v>
      </c>
      <c r="K23" s="67">
        <f>SUM(K17:K21)</f>
        <v>1</v>
      </c>
      <c r="L23" s="50">
        <f t="shared" si="1"/>
        <v>6348</v>
      </c>
      <c r="M23" s="67">
        <f t="shared" si="1"/>
        <v>1</v>
      </c>
      <c r="N23" s="50">
        <f t="shared" si="1"/>
        <v>7904</v>
      </c>
      <c r="O23" s="67">
        <f t="shared" si="1"/>
        <v>1</v>
      </c>
      <c r="P23" s="50">
        <f t="shared" si="1"/>
        <v>3330</v>
      </c>
      <c r="Q23" s="67">
        <f t="shared" si="1"/>
        <v>0.99999999999999989</v>
      </c>
      <c r="R23" s="50">
        <f t="shared" si="1"/>
        <v>184</v>
      </c>
      <c r="S23" s="67">
        <f t="shared" si="1"/>
        <v>1</v>
      </c>
    </row>
    <row r="24" spans="1:19" ht="13.5" thickBot="1" x14ac:dyDescent="0.25">
      <c r="A24" s="31" t="s">
        <v>17</v>
      </c>
      <c r="B24" s="32">
        <v>1</v>
      </c>
      <c r="C24" s="32"/>
      <c r="D24" s="32">
        <f>D23/$B$23</f>
        <v>3.7595089141480892E-3</v>
      </c>
      <c r="E24" s="32"/>
      <c r="F24" s="32">
        <f>F23/$B$23</f>
        <v>7.5219549446353576E-2</v>
      </c>
      <c r="G24" s="32"/>
      <c r="H24" s="32">
        <f>H23/$B$23</f>
        <v>0.14403618527329867</v>
      </c>
      <c r="I24" s="32"/>
      <c r="J24" s="32">
        <f>J23/$B$23</f>
        <v>0.25517666754780155</v>
      </c>
      <c r="K24" s="32"/>
      <c r="L24" s="33">
        <f>L23/$B$23</f>
        <v>0.18644814521103181</v>
      </c>
      <c r="M24" s="32"/>
      <c r="N24" s="33">
        <f>N23/$B$23</f>
        <v>0.23214967544864451</v>
      </c>
      <c r="O24" s="32"/>
      <c r="P24" s="33">
        <f>P23/$B$23</f>
        <v>9.7805974094633888E-2</v>
      </c>
      <c r="Q24" s="32"/>
      <c r="R24" s="33">
        <f>R23/$B$23</f>
        <v>5.4042940640878787E-3</v>
      </c>
      <c r="S24" s="32"/>
    </row>
  </sheetData>
  <mergeCells count="18">
    <mergeCell ref="B15:C15"/>
    <mergeCell ref="B3:C3"/>
    <mergeCell ref="D3:E3"/>
    <mergeCell ref="F3:G3"/>
    <mergeCell ref="H3:I3"/>
    <mergeCell ref="D15:E15"/>
    <mergeCell ref="F15:G15"/>
    <mergeCell ref="H15:I15"/>
    <mergeCell ref="N3:O3"/>
    <mergeCell ref="P3:Q3"/>
    <mergeCell ref="R3:S3"/>
    <mergeCell ref="J3:K3"/>
    <mergeCell ref="L3:M3"/>
    <mergeCell ref="P15:Q15"/>
    <mergeCell ref="J15:K15"/>
    <mergeCell ref="L15:M15"/>
    <mergeCell ref="N15:O15"/>
    <mergeCell ref="R15:S15"/>
  </mergeCells>
  <phoneticPr fontId="6" type="noConversion"/>
  <pageMargins left="0.14000000000000001" right="0.1400000000000000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V20" sqref="V20"/>
    </sheetView>
  </sheetViews>
  <sheetFormatPr defaultRowHeight="12.75" x14ac:dyDescent="0.2"/>
  <cols>
    <col min="1" max="1" width="22.5703125" customWidth="1"/>
    <col min="2" max="2" width="7.7109375" customWidth="1"/>
    <col min="3" max="3" width="6.85546875" customWidth="1"/>
    <col min="4" max="4" width="5.5703125" customWidth="1"/>
    <col min="5" max="6" width="6.140625" customWidth="1"/>
    <col min="7" max="7" width="6.42578125" customWidth="1"/>
    <col min="8" max="9" width="5.5703125" customWidth="1"/>
    <col min="10" max="10" width="7.140625" customWidth="1"/>
    <col min="11" max="11" width="5.5703125" customWidth="1"/>
    <col min="12" max="12" width="6.5703125" customWidth="1"/>
    <col min="13" max="13" width="5.85546875" customWidth="1"/>
    <col min="14" max="14" width="6.42578125" customWidth="1"/>
    <col min="15" max="15" width="6.140625" customWidth="1"/>
    <col min="16" max="16" width="6.28515625" customWidth="1"/>
    <col min="17" max="17" width="6.7109375" customWidth="1"/>
    <col min="18" max="18" width="6" customWidth="1"/>
    <col min="19" max="19" width="7" customWidth="1"/>
  </cols>
  <sheetData>
    <row r="1" spans="1:19" x14ac:dyDescent="0.2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 thickBo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132</v>
      </c>
      <c r="C5" s="15">
        <f>B5/$B$11</f>
        <v>3.2292787944025836E-3</v>
      </c>
      <c r="D5" s="41">
        <v>3</v>
      </c>
      <c r="E5" s="15">
        <f>D5/$D$11</f>
        <v>1.7045454545454544E-2</v>
      </c>
      <c r="F5" s="41">
        <v>7</v>
      </c>
      <c r="G5" s="15">
        <f>F5/$F$11</f>
        <v>2.0558002936857563E-3</v>
      </c>
      <c r="H5" s="41">
        <v>11</v>
      </c>
      <c r="I5" s="15">
        <f>H5/$H$11</f>
        <v>1.6842749961721022E-3</v>
      </c>
      <c r="J5" s="41">
        <v>16</v>
      </c>
      <c r="K5" s="15">
        <f>J5/$J$11</f>
        <v>1.5779092702169625E-3</v>
      </c>
      <c r="L5" s="41">
        <v>29</v>
      </c>
      <c r="M5" s="15">
        <f>L5/$L$11</f>
        <v>3.9536468984321749E-3</v>
      </c>
      <c r="N5" s="41">
        <v>43</v>
      </c>
      <c r="O5" s="15">
        <f>N5/$N$11</f>
        <v>4.5642713087782616E-3</v>
      </c>
      <c r="P5" s="41">
        <v>22</v>
      </c>
      <c r="Q5" s="15">
        <f>P5/$P$11</f>
        <v>5.9588299024918743E-3</v>
      </c>
      <c r="R5" s="41">
        <v>1</v>
      </c>
      <c r="S5" s="15">
        <f>R5/$R$11</f>
        <v>5.681818181818182E-3</v>
      </c>
    </row>
    <row r="6" spans="1:19" ht="13.5" thickBot="1" x14ac:dyDescent="0.25">
      <c r="A6" s="42" t="s">
        <v>12</v>
      </c>
      <c r="B6" s="40">
        <f>D6+F6+H6+J6+L6+N6+P6+R6</f>
        <v>7867</v>
      </c>
      <c r="C6" s="16">
        <f>B6/$B$11</f>
        <v>0.19246012329973577</v>
      </c>
      <c r="D6" s="41">
        <v>12</v>
      </c>
      <c r="E6" s="16">
        <f>D6/$D$11</f>
        <v>6.8181818181818177E-2</v>
      </c>
      <c r="F6" s="41">
        <v>158</v>
      </c>
      <c r="G6" s="16">
        <f>F6/$F$11</f>
        <v>4.6402349486049925E-2</v>
      </c>
      <c r="H6" s="41">
        <v>377</v>
      </c>
      <c r="I6" s="16">
        <f>H6/$H$11</f>
        <v>5.7724697596080232E-2</v>
      </c>
      <c r="J6" s="41">
        <v>1297</v>
      </c>
      <c r="K6" s="16">
        <f>J6/$J$11</f>
        <v>0.12790927021696252</v>
      </c>
      <c r="L6" s="41">
        <v>1606</v>
      </c>
      <c r="M6" s="16">
        <f>L6/$L$11</f>
        <v>0.21895023858214041</v>
      </c>
      <c r="N6" s="41">
        <v>2747</v>
      </c>
      <c r="O6" s="16">
        <f>N6/$N$11</f>
        <v>0.29158263453985778</v>
      </c>
      <c r="P6" s="41">
        <v>1583</v>
      </c>
      <c r="Q6" s="16">
        <f>P6/$P$11</f>
        <v>0.42876489707475623</v>
      </c>
      <c r="R6" s="41">
        <v>87</v>
      </c>
      <c r="S6" s="16">
        <f>R6/$R$11</f>
        <v>0.49431818181818182</v>
      </c>
    </row>
    <row r="7" spans="1:19" ht="13.5" thickBot="1" x14ac:dyDescent="0.25">
      <c r="A7" s="43" t="s">
        <v>13</v>
      </c>
      <c r="B7" s="40">
        <f>D7+F7+H7+J7+L7+N7+P7+R7</f>
        <v>15338</v>
      </c>
      <c r="C7" s="16">
        <f>B7/$B$11</f>
        <v>0.3752324102162638</v>
      </c>
      <c r="D7" s="41">
        <v>132</v>
      </c>
      <c r="E7" s="16">
        <f>D7/$D$11</f>
        <v>0.75</v>
      </c>
      <c r="F7" s="41">
        <v>1162</v>
      </c>
      <c r="G7" s="16">
        <f>F7/$F$11</f>
        <v>0.34126284875183555</v>
      </c>
      <c r="H7" s="41">
        <v>1487</v>
      </c>
      <c r="I7" s="16">
        <f>H7/$H$11</f>
        <v>0.22768335630071965</v>
      </c>
      <c r="J7" s="41">
        <v>3519</v>
      </c>
      <c r="K7" s="16">
        <f>J7/$J$11</f>
        <v>0.34704142011834321</v>
      </c>
      <c r="L7" s="41">
        <v>3487</v>
      </c>
      <c r="M7" s="16">
        <f>L7/$L$11</f>
        <v>0.47539195637355147</v>
      </c>
      <c r="N7" s="41">
        <v>4186</v>
      </c>
      <c r="O7" s="16">
        <f>N7/$N$11</f>
        <v>0.44432650461734424</v>
      </c>
      <c r="P7" s="41">
        <v>1302</v>
      </c>
      <c r="Q7" s="16">
        <f>P7/$P$11</f>
        <v>0.35265438786565545</v>
      </c>
      <c r="R7" s="41">
        <v>63</v>
      </c>
      <c r="S7" s="16">
        <f>R7/$R$11</f>
        <v>0.35795454545454547</v>
      </c>
    </row>
    <row r="8" spans="1:19" ht="13.5" thickBot="1" x14ac:dyDescent="0.25">
      <c r="A8" s="42" t="s">
        <v>14</v>
      </c>
      <c r="B8" s="40">
        <f>D8+F8+H8+J8+L8+N8+P8+R8</f>
        <v>4118</v>
      </c>
      <c r="C8" s="16">
        <f>B8/$B$11</f>
        <v>0.10074371269204423</v>
      </c>
      <c r="D8" s="41">
        <v>23</v>
      </c>
      <c r="E8" s="16">
        <f>D8/$D$11</f>
        <v>0.13068181818181818</v>
      </c>
      <c r="F8" s="41">
        <v>531</v>
      </c>
      <c r="G8" s="16">
        <f>F8/$F$11</f>
        <v>0.15594713656387665</v>
      </c>
      <c r="H8" s="41">
        <v>573</v>
      </c>
      <c r="I8" s="16">
        <f>H8/$H$11</f>
        <v>8.7735415709692233E-2</v>
      </c>
      <c r="J8" s="41">
        <v>1010</v>
      </c>
      <c r="K8" s="16">
        <f>J8/$J$11</f>
        <v>9.9605522682445755E-2</v>
      </c>
      <c r="L8" s="41">
        <v>747</v>
      </c>
      <c r="M8" s="16">
        <f>L8/$L$11</f>
        <v>0.10184049079754601</v>
      </c>
      <c r="N8" s="41">
        <v>957</v>
      </c>
      <c r="O8" s="16">
        <f>N8/$N$11</f>
        <v>0.10158157308141386</v>
      </c>
      <c r="P8" s="41">
        <v>275</v>
      </c>
      <c r="Q8" s="16">
        <f>P8/$P$11</f>
        <v>7.4485373781148431E-2</v>
      </c>
      <c r="R8" s="41">
        <v>2</v>
      </c>
      <c r="S8" s="16">
        <f>R8/$R$11</f>
        <v>1.1363636363636364E-2</v>
      </c>
    </row>
    <row r="9" spans="1:19" ht="13.5" thickBot="1" x14ac:dyDescent="0.25">
      <c r="A9" s="43" t="s">
        <v>15</v>
      </c>
      <c r="B9" s="40">
        <f>D9+F9+H9+J9+L9+N9+P9+R9</f>
        <v>13421</v>
      </c>
      <c r="C9" s="17">
        <f>B9/$B$11</f>
        <v>0.32833447499755358</v>
      </c>
      <c r="D9" s="41">
        <v>6</v>
      </c>
      <c r="E9" s="17">
        <f>D9/$D$11</f>
        <v>3.4090909090909088E-2</v>
      </c>
      <c r="F9" s="41">
        <v>1547</v>
      </c>
      <c r="G9" s="17">
        <f>F9/$F$11</f>
        <v>0.45433186490455213</v>
      </c>
      <c r="H9" s="41">
        <v>4083</v>
      </c>
      <c r="I9" s="17">
        <f>H9/$H$11</f>
        <v>0.62517225539733579</v>
      </c>
      <c r="J9" s="41">
        <v>4298</v>
      </c>
      <c r="K9" s="17">
        <f>J9/$J$11</f>
        <v>0.42386587771203155</v>
      </c>
      <c r="L9" s="41">
        <v>1466</v>
      </c>
      <c r="M9" s="17">
        <f>L9/$L$11</f>
        <v>0.19986366734832992</v>
      </c>
      <c r="N9" s="41">
        <v>1488</v>
      </c>
      <c r="O9" s="17">
        <f>N9/$N$11</f>
        <v>0.15794501645260589</v>
      </c>
      <c r="P9" s="41">
        <v>510</v>
      </c>
      <c r="Q9" s="17">
        <f>P9/$P$11</f>
        <v>0.13813651137594798</v>
      </c>
      <c r="R9" s="41">
        <v>23</v>
      </c>
      <c r="S9" s="17">
        <f>R9/$R$11</f>
        <v>0.13068181818181818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SUM(B5:B10)</f>
        <v>40876</v>
      </c>
      <c r="C11" s="45">
        <f>B11/$B$11</f>
        <v>1</v>
      </c>
      <c r="D11" s="49">
        <f>SUM(D5:D9)</f>
        <v>176</v>
      </c>
      <c r="E11" s="45">
        <f>D11/$D$11</f>
        <v>1</v>
      </c>
      <c r="F11" s="50">
        <f>SUM(F5:F9)</f>
        <v>3405</v>
      </c>
      <c r="G11" s="45">
        <f>F11/$F$11</f>
        <v>1</v>
      </c>
      <c r="H11" s="50">
        <f>SUM(H5:H9)</f>
        <v>6531</v>
      </c>
      <c r="I11" s="45">
        <f>H11/$H$11</f>
        <v>1</v>
      </c>
      <c r="J11" s="47">
        <f>SUM(J5:J9)</f>
        <v>10140</v>
      </c>
      <c r="K11" s="45">
        <f>J11/$J$11</f>
        <v>1</v>
      </c>
      <c r="L11" s="47">
        <f>SUM(L5:L9)</f>
        <v>7335</v>
      </c>
      <c r="M11" s="45">
        <f>L11/$L$11</f>
        <v>1</v>
      </c>
      <c r="N11" s="47">
        <f>SUM(N5:N9)</f>
        <v>9421</v>
      </c>
      <c r="O11" s="45">
        <f>N11/$N$11</f>
        <v>1</v>
      </c>
      <c r="P11" s="47">
        <f>SUM(P5:P9)</f>
        <v>3692</v>
      </c>
      <c r="Q11" s="45">
        <f>P11/$P$11</f>
        <v>1</v>
      </c>
      <c r="R11" s="47">
        <f>SUM(R5:R9)</f>
        <v>176</v>
      </c>
      <c r="S11" s="45">
        <f>R11/$R$11</f>
        <v>1</v>
      </c>
    </row>
    <row r="12" spans="1:19" ht="13.5" thickBot="1" x14ac:dyDescent="0.25">
      <c r="A12" s="51" t="s">
        <v>17</v>
      </c>
      <c r="B12" s="52">
        <v>1</v>
      </c>
      <c r="C12" s="52"/>
      <c r="D12" s="27">
        <f>D11/$B$11</f>
        <v>4.3057050592034442E-3</v>
      </c>
      <c r="E12" s="52"/>
      <c r="F12" s="28">
        <f>F11/$B$11</f>
        <v>8.3300714355612093E-2</v>
      </c>
      <c r="G12" s="52"/>
      <c r="H12" s="28">
        <f>H11/$B$11</f>
        <v>0.1597759076230551</v>
      </c>
      <c r="I12" s="52"/>
      <c r="J12" s="28">
        <f>J11/$B$11</f>
        <v>0.24806732557001662</v>
      </c>
      <c r="K12" s="52"/>
      <c r="L12" s="28">
        <f>L11/$B$11</f>
        <v>0.17944515118896173</v>
      </c>
      <c r="M12" s="52"/>
      <c r="N12" s="28">
        <f>N11/$B$11</f>
        <v>0.23047754183383892</v>
      </c>
      <c r="O12" s="52"/>
      <c r="P12" s="28">
        <f>P11/$B$11</f>
        <v>9.0321949310108618E-2</v>
      </c>
      <c r="Q12" s="52"/>
      <c r="R12" s="28">
        <f>R11/$B$11</f>
        <v>4.3057050592034442E-3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21" ht="15" x14ac:dyDescent="0.25">
      <c r="A17" s="59" t="s">
        <v>11</v>
      </c>
      <c r="B17" s="40">
        <f>D17+F17+H17+J17+L17+N17+P17+R17</f>
        <v>115</v>
      </c>
      <c r="C17" s="60">
        <f>B17/B23</f>
        <v>3.2610236778675742E-3</v>
      </c>
      <c r="D17" s="95">
        <v>0</v>
      </c>
      <c r="E17" s="60">
        <f>D17/D23</f>
        <v>0</v>
      </c>
      <c r="F17" s="96">
        <v>7</v>
      </c>
      <c r="G17" s="60">
        <f>F17/F23</f>
        <v>2.8E-3</v>
      </c>
      <c r="H17" s="96">
        <v>9</v>
      </c>
      <c r="I17" s="60">
        <f>H17/H23</f>
        <v>1.7297712857966558E-3</v>
      </c>
      <c r="J17" s="96">
        <v>28</v>
      </c>
      <c r="K17" s="60">
        <f>J17/J23</f>
        <v>2.9723991507431E-3</v>
      </c>
      <c r="L17" s="96">
        <v>30</v>
      </c>
      <c r="M17" s="60">
        <f>L17/L23</f>
        <v>4.6104195481788844E-3</v>
      </c>
      <c r="N17" s="96">
        <v>25</v>
      </c>
      <c r="O17" s="60">
        <f>N17/N23</f>
        <v>3.1273455091318488E-3</v>
      </c>
      <c r="P17" s="96">
        <v>13</v>
      </c>
      <c r="Q17" s="60">
        <f>P17/P23</f>
        <v>3.90625E-3</v>
      </c>
      <c r="R17" s="96">
        <v>3</v>
      </c>
      <c r="S17" s="60">
        <f>R17/R23</f>
        <v>1.5789473684210527E-2</v>
      </c>
      <c r="T17" s="22"/>
      <c r="U17" s="22"/>
    </row>
    <row r="18" spans="1:21" ht="15" x14ac:dyDescent="0.25">
      <c r="A18" s="61" t="s">
        <v>12</v>
      </c>
      <c r="B18" s="62">
        <f>D18+F18+H18+J18+L18+N18+P18+R18</f>
        <v>6925</v>
      </c>
      <c r="C18" s="63">
        <f>B18/B23</f>
        <v>0.19637033886289523</v>
      </c>
      <c r="D18" s="95">
        <v>25</v>
      </c>
      <c r="E18" s="63">
        <f>D18/D23</f>
        <v>0.2032520325203252</v>
      </c>
      <c r="F18" s="96">
        <v>186</v>
      </c>
      <c r="G18" s="63">
        <f>F18/F23</f>
        <v>7.4399999999999994E-2</v>
      </c>
      <c r="H18" s="96">
        <v>390</v>
      </c>
      <c r="I18" s="63">
        <f>H18/H23</f>
        <v>7.4956755717855081E-2</v>
      </c>
      <c r="J18" s="96">
        <v>1296</v>
      </c>
      <c r="K18" s="63">
        <f>J18/J23</f>
        <v>0.1375796178343949</v>
      </c>
      <c r="L18" s="96">
        <v>1366</v>
      </c>
      <c r="M18" s="63">
        <f>L18/L23</f>
        <v>0.20992777009374519</v>
      </c>
      <c r="N18" s="96">
        <v>2199</v>
      </c>
      <c r="O18" s="63">
        <f>N18/N23</f>
        <v>0.2750813109832374</v>
      </c>
      <c r="P18" s="96">
        <v>1365</v>
      </c>
      <c r="Q18" s="63">
        <f>P18/P23</f>
        <v>0.41015625</v>
      </c>
      <c r="R18" s="96">
        <v>98</v>
      </c>
      <c r="S18" s="63">
        <f>R18/R23</f>
        <v>0.51578947368421058</v>
      </c>
      <c r="T18" s="22"/>
      <c r="U18" s="22"/>
    </row>
    <row r="19" spans="1:21" ht="15" x14ac:dyDescent="0.25">
      <c r="A19" s="29" t="s">
        <v>13</v>
      </c>
      <c r="B19" s="62">
        <f>D19+F19+H19+J19+L19+N19+P19+R19</f>
        <v>13223</v>
      </c>
      <c r="C19" s="63">
        <f>B19/B23</f>
        <v>0.37496100949950378</v>
      </c>
      <c r="D19" s="95">
        <v>78</v>
      </c>
      <c r="E19" s="63">
        <f>D19/D23</f>
        <v>0.63414634146341464</v>
      </c>
      <c r="F19" s="96">
        <v>850</v>
      </c>
      <c r="G19" s="63">
        <f>F19/F23</f>
        <v>0.34</v>
      </c>
      <c r="H19" s="96">
        <v>1195</v>
      </c>
      <c r="I19" s="63">
        <f>H19/H23</f>
        <v>0.2296751873918893</v>
      </c>
      <c r="J19" s="96">
        <v>3144</v>
      </c>
      <c r="K19" s="63">
        <f>J19/J23</f>
        <v>0.33375796178343947</v>
      </c>
      <c r="L19" s="96">
        <v>2994</v>
      </c>
      <c r="M19" s="63">
        <f>L19/L23</f>
        <v>0.46011987090825263</v>
      </c>
      <c r="N19" s="96">
        <v>3670</v>
      </c>
      <c r="O19" s="63">
        <f>N19/N23</f>
        <v>0.45909432074055539</v>
      </c>
      <c r="P19" s="96">
        <v>1231</v>
      </c>
      <c r="Q19" s="63">
        <f>P19/P23</f>
        <v>0.36989182692307693</v>
      </c>
      <c r="R19" s="96">
        <v>61</v>
      </c>
      <c r="S19" s="63">
        <f>R19/R23</f>
        <v>0.32105263157894737</v>
      </c>
      <c r="T19" s="22"/>
      <c r="U19" s="22"/>
    </row>
    <row r="20" spans="1:21" ht="15" x14ac:dyDescent="0.25">
      <c r="A20" s="61" t="s">
        <v>14</v>
      </c>
      <c r="B20" s="62">
        <f>D20+F20+H20+J20+L20+N20+P20+R20</f>
        <v>3418</v>
      </c>
      <c r="C20" s="63">
        <f>B20/B23</f>
        <v>9.6923295051751027E-2</v>
      </c>
      <c r="D20" s="95">
        <v>17</v>
      </c>
      <c r="E20" s="63">
        <f>D20/D23</f>
        <v>0.13821138211382114</v>
      </c>
      <c r="F20" s="96">
        <v>384</v>
      </c>
      <c r="G20" s="63">
        <f>F20/F23</f>
        <v>0.15359999999999999</v>
      </c>
      <c r="H20" s="96">
        <v>438</v>
      </c>
      <c r="I20" s="63">
        <f>H20/H23</f>
        <v>8.4182202575437251E-2</v>
      </c>
      <c r="J20" s="96">
        <v>837</v>
      </c>
      <c r="K20" s="63">
        <f>J20/J23</f>
        <v>8.885350318471337E-2</v>
      </c>
      <c r="L20" s="96">
        <v>655</v>
      </c>
      <c r="M20" s="63">
        <f>L20/L23</f>
        <v>0.10066082680190563</v>
      </c>
      <c r="N20" s="96">
        <v>820</v>
      </c>
      <c r="O20" s="63">
        <f>N20/N23</f>
        <v>0.10257693269952464</v>
      </c>
      <c r="P20" s="96">
        <v>256</v>
      </c>
      <c r="Q20" s="63">
        <f>P20/P23</f>
        <v>7.6923076923076927E-2</v>
      </c>
      <c r="R20" s="96">
        <v>11</v>
      </c>
      <c r="S20" s="63">
        <f>R20/R23</f>
        <v>5.7894736842105263E-2</v>
      </c>
      <c r="T20" s="22"/>
      <c r="U20" s="22"/>
    </row>
    <row r="21" spans="1:21" ht="13.5" thickBot="1" x14ac:dyDescent="0.25">
      <c r="A21" s="29" t="s">
        <v>15</v>
      </c>
      <c r="B21" s="64">
        <f>D21+F21+H21+J21+L21+N21+P21+R21</f>
        <v>11584</v>
      </c>
      <c r="C21" s="65">
        <f>B21/B23</f>
        <v>0.3284843329079824</v>
      </c>
      <c r="D21" s="95">
        <v>3</v>
      </c>
      <c r="E21" s="65">
        <f>D21/D23</f>
        <v>2.4390243902439025E-2</v>
      </c>
      <c r="F21" s="97">
        <f>318+755</f>
        <v>1073</v>
      </c>
      <c r="G21" s="65">
        <f>F21/F23</f>
        <v>0.42920000000000003</v>
      </c>
      <c r="H21" s="97">
        <f>481+2690</f>
        <v>3171</v>
      </c>
      <c r="I21" s="65">
        <f>H21/H23</f>
        <v>0.60945608302902177</v>
      </c>
      <c r="J21" s="97">
        <f>888+3227</f>
        <v>4115</v>
      </c>
      <c r="K21" s="65">
        <f>J21/J23</f>
        <v>0.43683651804670914</v>
      </c>
      <c r="L21" s="97">
        <f>623+839</f>
        <v>1462</v>
      </c>
      <c r="M21" s="65">
        <f>L21/L23</f>
        <v>0.22468111264791762</v>
      </c>
      <c r="N21" s="97">
        <f>560+720</f>
        <v>1280</v>
      </c>
      <c r="O21" s="65">
        <f>N21/N23</f>
        <v>0.16012009006755065</v>
      </c>
      <c r="P21" s="97">
        <f>187+276</f>
        <v>463</v>
      </c>
      <c r="Q21" s="65">
        <f>P21/P23</f>
        <v>0.13912259615384615</v>
      </c>
      <c r="R21" s="97">
        <v>17</v>
      </c>
      <c r="S21" s="65">
        <f>R21/R23</f>
        <v>8.9473684210526316E-2</v>
      </c>
      <c r="T21" s="22"/>
      <c r="U21" s="22"/>
    </row>
    <row r="22" spans="1:21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  <c r="T22" s="22"/>
      <c r="U22" s="22"/>
    </row>
    <row r="23" spans="1:21" ht="13.5" thickBot="1" x14ac:dyDescent="0.25">
      <c r="A23" s="29" t="s">
        <v>16</v>
      </c>
      <c r="B23" s="64">
        <f>D23+F23+H23+J23+L23+N23+P23+R23</f>
        <v>35265</v>
      </c>
      <c r="C23" s="67">
        <f t="shared" ref="C23:S23" si="0">SUM(C17:C21)</f>
        <v>1</v>
      </c>
      <c r="D23" s="71">
        <f t="shared" si="0"/>
        <v>123</v>
      </c>
      <c r="E23" s="67">
        <f t="shared" si="0"/>
        <v>1</v>
      </c>
      <c r="F23" s="71">
        <f t="shared" si="0"/>
        <v>2500</v>
      </c>
      <c r="G23" s="67">
        <f t="shared" si="0"/>
        <v>1</v>
      </c>
      <c r="H23" s="50">
        <f t="shared" si="0"/>
        <v>5203</v>
      </c>
      <c r="I23" s="67">
        <f t="shared" si="0"/>
        <v>1</v>
      </c>
      <c r="J23" s="71">
        <f t="shared" si="0"/>
        <v>9420</v>
      </c>
      <c r="K23" s="67">
        <f>SUM(K17:K21)</f>
        <v>1</v>
      </c>
      <c r="L23" s="50">
        <f t="shared" si="0"/>
        <v>6507</v>
      </c>
      <c r="M23" s="67">
        <f t="shared" si="0"/>
        <v>1</v>
      </c>
      <c r="N23" s="50">
        <f t="shared" si="0"/>
        <v>7994</v>
      </c>
      <c r="O23" s="67">
        <f t="shared" si="0"/>
        <v>1</v>
      </c>
      <c r="P23" s="50">
        <f t="shared" si="0"/>
        <v>3328</v>
      </c>
      <c r="Q23" s="67">
        <f t="shared" si="0"/>
        <v>0.99999999999999989</v>
      </c>
      <c r="R23" s="50">
        <f t="shared" si="0"/>
        <v>190</v>
      </c>
      <c r="S23" s="67">
        <f t="shared" si="0"/>
        <v>1</v>
      </c>
      <c r="T23" s="22"/>
      <c r="U23" s="22"/>
    </row>
    <row r="24" spans="1:21" ht="13.5" thickBot="1" x14ac:dyDescent="0.25">
      <c r="A24" s="31" t="s">
        <v>17</v>
      </c>
      <c r="B24" s="32">
        <v>1</v>
      </c>
      <c r="C24" s="32"/>
      <c r="D24" s="32">
        <f>D23/$B$23</f>
        <v>3.4878774989366228E-3</v>
      </c>
      <c r="E24" s="32"/>
      <c r="F24" s="32">
        <f>F23/$B$23</f>
        <v>7.0891819084077698E-2</v>
      </c>
      <c r="G24" s="32"/>
      <c r="H24" s="32">
        <f>H23/$B$23</f>
        <v>0.14754005387778252</v>
      </c>
      <c r="I24" s="32"/>
      <c r="J24" s="32">
        <f>J23/$B$23</f>
        <v>0.26712037430880475</v>
      </c>
      <c r="K24" s="32"/>
      <c r="L24" s="33">
        <f>L23/$B$23</f>
        <v>0.18451722671203744</v>
      </c>
      <c r="M24" s="32"/>
      <c r="N24" s="33">
        <f>N23/$B$23</f>
        <v>0.22668368070324685</v>
      </c>
      <c r="O24" s="32"/>
      <c r="P24" s="33">
        <f>P23/$B$23</f>
        <v>9.4371189564724234E-2</v>
      </c>
      <c r="Q24" s="32"/>
      <c r="R24" s="33">
        <f>R23/$B$23</f>
        <v>5.3877782503899052E-3</v>
      </c>
      <c r="S24" s="32"/>
      <c r="T24" s="22"/>
      <c r="U24" s="22"/>
    </row>
  </sheetData>
  <mergeCells count="18">
    <mergeCell ref="R3:S3"/>
    <mergeCell ref="D15:E15"/>
    <mergeCell ref="F15:G15"/>
    <mergeCell ref="H15:I15"/>
    <mergeCell ref="J15:K15"/>
    <mergeCell ref="L15:M15"/>
    <mergeCell ref="N15:O15"/>
    <mergeCell ref="P15:Q15"/>
    <mergeCell ref="R15:S15"/>
    <mergeCell ref="L3:M3"/>
    <mergeCell ref="N3:O3"/>
    <mergeCell ref="D3:E3"/>
    <mergeCell ref="F3:G3"/>
    <mergeCell ref="H3:I3"/>
    <mergeCell ref="J3:K3"/>
    <mergeCell ref="B3:C3"/>
    <mergeCell ref="B15:C15"/>
    <mergeCell ref="P3:Q3"/>
  </mergeCells>
  <phoneticPr fontId="6" type="noConversion"/>
  <pageMargins left="0.2" right="0.57999999999999996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V27" sqref="V27"/>
    </sheetView>
  </sheetViews>
  <sheetFormatPr defaultRowHeight="12.75" x14ac:dyDescent="0.2"/>
  <cols>
    <col min="1" max="1" width="22.140625" customWidth="1"/>
    <col min="2" max="2" width="7.28515625" customWidth="1"/>
    <col min="3" max="3" width="6.7109375" customWidth="1"/>
    <col min="4" max="4" width="6.140625" customWidth="1"/>
    <col min="5" max="5" width="6.7109375" customWidth="1"/>
    <col min="6" max="6" width="7" customWidth="1"/>
    <col min="7" max="7" width="6.5703125" customWidth="1"/>
    <col min="8" max="8" width="6.42578125" customWidth="1"/>
    <col min="9" max="9" width="6.5703125" customWidth="1"/>
    <col min="10" max="10" width="7.5703125" customWidth="1"/>
    <col min="11" max="11" width="6.28515625" customWidth="1"/>
    <col min="12" max="12" width="7.42578125" customWidth="1"/>
    <col min="13" max="13" width="7.140625" customWidth="1"/>
    <col min="14" max="17" width="6.42578125" customWidth="1"/>
    <col min="18" max="18" width="5.5703125" customWidth="1"/>
    <col min="19" max="19" width="6.5703125" customWidth="1"/>
  </cols>
  <sheetData>
    <row r="1" spans="1:19" x14ac:dyDescent="0.2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 thickBo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3.5" thickBot="1" x14ac:dyDescent="0.25">
      <c r="A5" s="39" t="s">
        <v>11</v>
      </c>
      <c r="B5" s="40">
        <f t="shared" ref="B5:B11" si="0">D5+F5+H5+J5+L5+N5+P5+R5</f>
        <v>137</v>
      </c>
      <c r="C5" s="15">
        <f>B5/$B$11</f>
        <v>3.2482928679817905E-3</v>
      </c>
      <c r="D5" s="41">
        <v>3</v>
      </c>
      <c r="E5" s="15">
        <f>D5/$D$11</f>
        <v>1.3100436681222707E-2</v>
      </c>
      <c r="F5" s="41">
        <v>10</v>
      </c>
      <c r="G5" s="15">
        <f>F5/$F$11</f>
        <v>2.5680534155110425E-3</v>
      </c>
      <c r="H5" s="41">
        <v>10</v>
      </c>
      <c r="I5" s="15">
        <f>H5/$H$11</f>
        <v>1.4658457930225739E-3</v>
      </c>
      <c r="J5" s="41">
        <v>22</v>
      </c>
      <c r="K5" s="15">
        <f>J5/$J$11</f>
        <v>2.0966358524730773E-3</v>
      </c>
      <c r="L5" s="41">
        <v>29</v>
      </c>
      <c r="M5" s="15">
        <f>L5/$L$11</f>
        <v>3.8894849785407726E-3</v>
      </c>
      <c r="N5" s="41">
        <v>40</v>
      </c>
      <c r="O5" s="15">
        <f>N5/$N$11</f>
        <v>4.2489908646696408E-3</v>
      </c>
      <c r="P5" s="41">
        <v>21</v>
      </c>
      <c r="Q5" s="15">
        <f>P5/$P$11</f>
        <v>5.7142857142857143E-3</v>
      </c>
      <c r="R5" s="41">
        <v>2</v>
      </c>
      <c r="S5" s="15">
        <f>R5/$R$11</f>
        <v>1.0362694300518135E-2</v>
      </c>
    </row>
    <row r="6" spans="1:19" ht="13.5" thickBot="1" x14ac:dyDescent="0.25">
      <c r="A6" s="42" t="s">
        <v>12</v>
      </c>
      <c r="B6" s="40">
        <f t="shared" si="0"/>
        <v>7666</v>
      </c>
      <c r="C6" s="16">
        <f>B6/$B$11</f>
        <v>0.18176213960546284</v>
      </c>
      <c r="D6" s="41">
        <v>9</v>
      </c>
      <c r="E6" s="16">
        <f>D6/$D$11</f>
        <v>3.9301310043668124E-2</v>
      </c>
      <c r="F6" s="41">
        <v>143</v>
      </c>
      <c r="G6" s="16">
        <f>F6/$F$11</f>
        <v>3.6723163841807911E-2</v>
      </c>
      <c r="H6" s="41">
        <v>373</v>
      </c>
      <c r="I6" s="16">
        <f>H6/$H$11</f>
        <v>5.467604807974201E-2</v>
      </c>
      <c r="J6" s="41">
        <v>1247</v>
      </c>
      <c r="K6" s="16">
        <f>J6/$J$11</f>
        <v>0.11884113218336033</v>
      </c>
      <c r="L6" s="41">
        <v>1529</v>
      </c>
      <c r="M6" s="16">
        <f>L6/$L$11</f>
        <v>0.20506974248927037</v>
      </c>
      <c r="N6" s="41">
        <v>2704</v>
      </c>
      <c r="O6" s="16">
        <f>N6/$N$11</f>
        <v>0.28723178245166775</v>
      </c>
      <c r="P6" s="41">
        <v>1569</v>
      </c>
      <c r="Q6" s="16">
        <f>P6/$P$11</f>
        <v>0.42693877551020409</v>
      </c>
      <c r="R6" s="41">
        <v>92</v>
      </c>
      <c r="S6" s="16">
        <f>R6/$R$11</f>
        <v>0.47668393782383417</v>
      </c>
    </row>
    <row r="7" spans="1:19" ht="13.5" thickBot="1" x14ac:dyDescent="0.25">
      <c r="A7" s="43" t="s">
        <v>13</v>
      </c>
      <c r="B7" s="40">
        <f t="shared" si="0"/>
        <v>15598</v>
      </c>
      <c r="C7" s="16">
        <f>B7/$B$11</f>
        <v>0.36983118361153261</v>
      </c>
      <c r="D7" s="41">
        <v>180</v>
      </c>
      <c r="E7" s="16">
        <f>D7/$D$11</f>
        <v>0.78602620087336239</v>
      </c>
      <c r="F7" s="41">
        <v>1200</v>
      </c>
      <c r="G7" s="16">
        <f>F7/$F$11</f>
        <v>0.3081664098613251</v>
      </c>
      <c r="H7" s="41">
        <v>1456</v>
      </c>
      <c r="I7" s="16">
        <f>H7/$H$11</f>
        <v>0.21342714746408678</v>
      </c>
      <c r="J7" s="41">
        <v>3494</v>
      </c>
      <c r="K7" s="16">
        <f>J7/$J$11</f>
        <v>0.33298389402458783</v>
      </c>
      <c r="L7" s="41">
        <v>3638</v>
      </c>
      <c r="M7" s="16">
        <f>L7/$L$11</f>
        <v>0.48792918454935624</v>
      </c>
      <c r="N7" s="41">
        <v>4256</v>
      </c>
      <c r="O7" s="16">
        <f>N7/$N$11</f>
        <v>0.45209262800084982</v>
      </c>
      <c r="P7" s="41">
        <v>1303</v>
      </c>
      <c r="Q7" s="16">
        <f>P7/$P$11</f>
        <v>0.35455782312925171</v>
      </c>
      <c r="R7" s="41">
        <v>71</v>
      </c>
      <c r="S7" s="16">
        <f>R7/$R$11</f>
        <v>0.36787564766839376</v>
      </c>
    </row>
    <row r="8" spans="1:19" ht="13.5" thickBot="1" x14ac:dyDescent="0.25">
      <c r="A8" s="42" t="s">
        <v>14</v>
      </c>
      <c r="B8" s="40">
        <f t="shared" si="0"/>
        <v>4107</v>
      </c>
      <c r="C8" s="16">
        <f>B8/$B$11</f>
        <v>9.7377655538694999E-2</v>
      </c>
      <c r="D8" s="41">
        <v>33</v>
      </c>
      <c r="E8" s="16">
        <f>D8/$D$11</f>
        <v>0.14410480349344978</v>
      </c>
      <c r="F8" s="41">
        <v>543</v>
      </c>
      <c r="G8" s="16">
        <f>F8/$F$11</f>
        <v>0.13944530046224962</v>
      </c>
      <c r="H8" s="41">
        <v>544</v>
      </c>
      <c r="I8" s="16">
        <f>H8/$H$11</f>
        <v>7.9742011140428032E-2</v>
      </c>
      <c r="J8" s="41">
        <v>1009</v>
      </c>
      <c r="K8" s="16">
        <f>J8/$J$11</f>
        <v>9.6159344324787954E-2</v>
      </c>
      <c r="L8" s="41">
        <v>749</v>
      </c>
      <c r="M8" s="16">
        <f>L8/$L$11</f>
        <v>0.10045600858369098</v>
      </c>
      <c r="N8" s="41">
        <v>953</v>
      </c>
      <c r="O8" s="16">
        <f>N8/$N$11</f>
        <v>0.10123220735075419</v>
      </c>
      <c r="P8" s="41">
        <v>272</v>
      </c>
      <c r="Q8" s="16">
        <f>P8/$P$11</f>
        <v>7.4013605442176875E-2</v>
      </c>
      <c r="R8" s="41">
        <v>4</v>
      </c>
      <c r="S8" s="16">
        <f>R8/$R$11</f>
        <v>2.072538860103627E-2</v>
      </c>
    </row>
    <row r="9" spans="1:19" ht="13.5" thickBot="1" x14ac:dyDescent="0.25">
      <c r="A9" s="43" t="s">
        <v>15</v>
      </c>
      <c r="B9" s="40">
        <f t="shared" si="0"/>
        <v>14668</v>
      </c>
      <c r="C9" s="17">
        <f>B9/$B$11</f>
        <v>0.34778072837632779</v>
      </c>
      <c r="D9" s="41">
        <v>4</v>
      </c>
      <c r="E9" s="17">
        <f>D9/$D$11</f>
        <v>1.7467248908296942E-2</v>
      </c>
      <c r="F9" s="41">
        <v>1998</v>
      </c>
      <c r="G9" s="17">
        <f>F9/$F$11</f>
        <v>0.51309707241910629</v>
      </c>
      <c r="H9" s="41">
        <v>4439</v>
      </c>
      <c r="I9" s="17">
        <f>H9/$H$11</f>
        <v>0.65068894752272066</v>
      </c>
      <c r="J9" s="41">
        <v>4721</v>
      </c>
      <c r="K9" s="17">
        <f>J9/$J$11</f>
        <v>0.44991899361479082</v>
      </c>
      <c r="L9" s="41">
        <v>1511</v>
      </c>
      <c r="M9" s="17">
        <f>L9/$L$11</f>
        <v>0.20265557939914164</v>
      </c>
      <c r="N9" s="41">
        <v>1461</v>
      </c>
      <c r="O9" s="17">
        <f>N9/$N$11</f>
        <v>0.15519439133205865</v>
      </c>
      <c r="P9" s="41">
        <v>510</v>
      </c>
      <c r="Q9" s="17">
        <f>P9/$P$11</f>
        <v>0.13877551020408163</v>
      </c>
      <c r="R9" s="41">
        <v>24</v>
      </c>
      <c r="S9" s="17">
        <f>R9/$R$11</f>
        <v>0.12435233160621761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 t="shared" si="0"/>
        <v>42176</v>
      </c>
      <c r="C11" s="45">
        <f>B11/$B$11</f>
        <v>1</v>
      </c>
      <c r="D11" s="49">
        <f>SUM(D5:D9)</f>
        <v>229</v>
      </c>
      <c r="E11" s="45">
        <f>D11/$D$11</f>
        <v>1</v>
      </c>
      <c r="F11" s="50">
        <f>SUM(F5:F9)</f>
        <v>3894</v>
      </c>
      <c r="G11" s="45">
        <f>F11/$F$11</f>
        <v>1</v>
      </c>
      <c r="H11" s="50">
        <f>SUM(H5:H9)</f>
        <v>6822</v>
      </c>
      <c r="I11" s="45">
        <f>H11/$H$11</f>
        <v>1</v>
      </c>
      <c r="J11" s="90">
        <f>SUM(J5:J9)</f>
        <v>10493</v>
      </c>
      <c r="K11" s="45">
        <f>J11/$J$11</f>
        <v>1</v>
      </c>
      <c r="L11" s="47">
        <f>SUM(L5:L9)</f>
        <v>7456</v>
      </c>
      <c r="M11" s="45">
        <f>L11/$L$11</f>
        <v>1</v>
      </c>
      <c r="N11" s="47">
        <f>SUM(N5:N9)</f>
        <v>9414</v>
      </c>
      <c r="O11" s="45">
        <f>N11/$N$11</f>
        <v>1</v>
      </c>
      <c r="P11" s="47">
        <f>SUM(P5:P9)</f>
        <v>3675</v>
      </c>
      <c r="Q11" s="45">
        <f>P11/$P$11</f>
        <v>1</v>
      </c>
      <c r="R11" s="47">
        <f>SUM(R5:R9)</f>
        <v>193</v>
      </c>
      <c r="S11" s="45">
        <f>R11/$R$11</f>
        <v>1</v>
      </c>
    </row>
    <row r="12" spans="1:19" ht="13.5" thickBot="1" x14ac:dyDescent="0.25">
      <c r="A12" s="51" t="s">
        <v>17</v>
      </c>
      <c r="B12" s="52">
        <v>1</v>
      </c>
      <c r="C12" s="52"/>
      <c r="D12" s="27">
        <v>8.3237337891568508E-3</v>
      </c>
      <c r="E12" s="52"/>
      <c r="F12" s="28">
        <v>0.110864420098923</v>
      </c>
      <c r="G12" s="52"/>
      <c r="H12" s="28">
        <v>0.18</v>
      </c>
      <c r="I12" s="52"/>
      <c r="J12" s="28">
        <v>0.23</v>
      </c>
      <c r="K12" s="52"/>
      <c r="L12" s="28">
        <v>0.21</v>
      </c>
      <c r="M12" s="52"/>
      <c r="N12" s="28">
        <v>0.18</v>
      </c>
      <c r="O12" s="52"/>
      <c r="P12" s="28">
        <v>0.08</v>
      </c>
      <c r="Q12" s="52"/>
      <c r="R12" s="28">
        <v>2.6810890768732953E-3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20" ht="15" x14ac:dyDescent="0.25">
      <c r="A17" s="59" t="s">
        <v>11</v>
      </c>
      <c r="B17" s="40">
        <f>D17+F17+H17+J17+L17+N17+P17+R17</f>
        <v>111</v>
      </c>
      <c r="C17" s="60">
        <f>B17/B23</f>
        <v>3.0737704918032786E-3</v>
      </c>
      <c r="D17" s="95">
        <v>2</v>
      </c>
      <c r="E17" s="60">
        <f>D17/D23</f>
        <v>1.5503875968992248E-2</v>
      </c>
      <c r="F17" s="96">
        <v>10</v>
      </c>
      <c r="G17" s="60">
        <f>F17/F23</f>
        <v>3.9138943248532287E-3</v>
      </c>
      <c r="H17" s="96">
        <v>13</v>
      </c>
      <c r="I17" s="60">
        <f>H17/H23</f>
        <v>2.4132170038982737E-3</v>
      </c>
      <c r="J17" s="96">
        <v>24</v>
      </c>
      <c r="K17" s="60">
        <f>J17/J23</f>
        <v>2.4405125076266015E-3</v>
      </c>
      <c r="L17" s="96">
        <v>29</v>
      </c>
      <c r="M17" s="60">
        <f>L17/L23</f>
        <v>4.3733976775750267E-3</v>
      </c>
      <c r="N17" s="96">
        <v>18</v>
      </c>
      <c r="O17" s="60">
        <f>N17/N23</f>
        <v>2.223869532987398E-3</v>
      </c>
      <c r="P17" s="96">
        <v>14</v>
      </c>
      <c r="Q17" s="60">
        <f>P17/P23</f>
        <v>4.2449969678593083E-3</v>
      </c>
      <c r="R17" s="93">
        <v>1</v>
      </c>
      <c r="S17" s="60">
        <f>R17/R23</f>
        <v>5.434782608695652E-3</v>
      </c>
      <c r="T17" s="22"/>
    </row>
    <row r="18" spans="1:20" ht="15" x14ac:dyDescent="0.25">
      <c r="A18" s="61" t="s">
        <v>12</v>
      </c>
      <c r="B18" s="62">
        <f>D18+F18+H18+J18+L18+N18+P18+R18</f>
        <v>6807</v>
      </c>
      <c r="C18" s="63">
        <f>B18/B23</f>
        <v>0.18849689853788215</v>
      </c>
      <c r="D18" s="95">
        <v>22</v>
      </c>
      <c r="E18" s="63">
        <f>D18/D23</f>
        <v>0.17054263565891473</v>
      </c>
      <c r="F18" s="96">
        <v>196</v>
      </c>
      <c r="G18" s="63">
        <f>F18/F23</f>
        <v>7.6712328767123292E-2</v>
      </c>
      <c r="H18" s="96">
        <v>373</v>
      </c>
      <c r="I18" s="63">
        <f>H18/H23</f>
        <v>6.9240764804158153E-2</v>
      </c>
      <c r="J18" s="96">
        <v>1303</v>
      </c>
      <c r="K18" s="63">
        <f>J18/J23</f>
        <v>0.13249949155989424</v>
      </c>
      <c r="L18" s="96">
        <v>1325</v>
      </c>
      <c r="M18" s="63">
        <f>L18/L23</f>
        <v>0.19981903182023827</v>
      </c>
      <c r="N18" s="96">
        <v>2164</v>
      </c>
      <c r="O18" s="63">
        <f>N18/N23</f>
        <v>0.26735853718804053</v>
      </c>
      <c r="P18" s="96">
        <v>1338</v>
      </c>
      <c r="Q18" s="63">
        <f>P18/P23</f>
        <v>0.40570042449969679</v>
      </c>
      <c r="R18" s="93">
        <v>86</v>
      </c>
      <c r="S18" s="63">
        <f>R18/R23</f>
        <v>0.46739130434782611</v>
      </c>
      <c r="T18" s="22"/>
    </row>
    <row r="19" spans="1:20" ht="15" x14ac:dyDescent="0.25">
      <c r="A19" s="29" t="s">
        <v>13</v>
      </c>
      <c r="B19" s="62">
        <f>D19+F19+H19+J19+L19+N19+P19+R19</f>
        <v>13434</v>
      </c>
      <c r="C19" s="63">
        <f>B19/B23</f>
        <v>0.37200930438635355</v>
      </c>
      <c r="D19" s="95">
        <v>77</v>
      </c>
      <c r="E19" s="63">
        <f>D19/D23</f>
        <v>0.5968992248062015</v>
      </c>
      <c r="F19" s="96">
        <v>845</v>
      </c>
      <c r="G19" s="63">
        <f>F19/F23</f>
        <v>0.33072407045009783</v>
      </c>
      <c r="H19" s="96">
        <v>1168</v>
      </c>
      <c r="I19" s="63">
        <f>H19/H23</f>
        <v>0.21681826619639874</v>
      </c>
      <c r="J19" s="96">
        <v>3129</v>
      </c>
      <c r="K19" s="63">
        <f>J19/J23</f>
        <v>0.31818181818181818</v>
      </c>
      <c r="L19" s="96">
        <v>3116</v>
      </c>
      <c r="M19" s="63">
        <f>L19/L23</f>
        <v>0.46991404011461319</v>
      </c>
      <c r="N19" s="96">
        <v>3788</v>
      </c>
      <c r="O19" s="63">
        <f>N19/N23</f>
        <v>0.46800098838645909</v>
      </c>
      <c r="P19" s="96">
        <v>1249</v>
      </c>
      <c r="Q19" s="63">
        <f>P19/P23</f>
        <v>0.37871437234687688</v>
      </c>
      <c r="R19" s="93">
        <v>62</v>
      </c>
      <c r="S19" s="63">
        <f>R19/R23</f>
        <v>0.33695652173913043</v>
      </c>
      <c r="T19" s="22"/>
    </row>
    <row r="20" spans="1:20" ht="15" x14ac:dyDescent="0.25">
      <c r="A20" s="61" t="s">
        <v>14</v>
      </c>
      <c r="B20" s="62">
        <f>D20+F20+H20+J20+L20+N20+P20+R20</f>
        <v>3331</v>
      </c>
      <c r="C20" s="63">
        <f>B20/B23</f>
        <v>9.2240806380150642E-2</v>
      </c>
      <c r="D20" s="95">
        <v>24</v>
      </c>
      <c r="E20" s="63">
        <f>D20/D23</f>
        <v>0.18604651162790697</v>
      </c>
      <c r="F20" s="96">
        <v>357</v>
      </c>
      <c r="G20" s="63">
        <f>F20/F23</f>
        <v>0.13972602739726028</v>
      </c>
      <c r="H20" s="96">
        <v>425</v>
      </c>
      <c r="I20" s="63">
        <f>H20/H23</f>
        <v>7.8893632819751258E-2</v>
      </c>
      <c r="J20" s="96">
        <v>837</v>
      </c>
      <c r="K20" s="63">
        <f>J20/J23</f>
        <v>8.5112873703477726E-2</v>
      </c>
      <c r="L20" s="96">
        <v>629</v>
      </c>
      <c r="M20" s="63">
        <f>L20/L23</f>
        <v>9.4857487558437648E-2</v>
      </c>
      <c r="N20" s="96">
        <v>796</v>
      </c>
      <c r="O20" s="63">
        <f>N20/N23</f>
        <v>9.8344452680998271E-2</v>
      </c>
      <c r="P20" s="96">
        <v>251</v>
      </c>
      <c r="Q20" s="63">
        <f>P20/P23</f>
        <v>7.6106731352334742E-2</v>
      </c>
      <c r="R20" s="93">
        <v>12</v>
      </c>
      <c r="S20" s="63">
        <f>R20/R23</f>
        <v>6.5217391304347824E-2</v>
      </c>
      <c r="T20" s="22"/>
    </row>
    <row r="21" spans="1:20" ht="13.5" thickBot="1" x14ac:dyDescent="0.25">
      <c r="A21" s="29" t="s">
        <v>15</v>
      </c>
      <c r="B21" s="64">
        <f>D21+F21+H21+J21+L21+N21+P21+R21</f>
        <v>12429</v>
      </c>
      <c r="C21" s="65">
        <f>B21/B23</f>
        <v>0.34417922020381037</v>
      </c>
      <c r="D21" s="95">
        <v>4</v>
      </c>
      <c r="E21" s="65">
        <f>D21/D23</f>
        <v>3.1007751937984496E-2</v>
      </c>
      <c r="F21" s="97">
        <f>308+839</f>
        <v>1147</v>
      </c>
      <c r="G21" s="65">
        <f>F21/F23</f>
        <v>0.44892367906066538</v>
      </c>
      <c r="H21" s="97">
        <f>514+2894</f>
        <v>3408</v>
      </c>
      <c r="I21" s="65">
        <f>H21/H23</f>
        <v>0.6326341191757936</v>
      </c>
      <c r="J21" s="97">
        <f>973+3568</f>
        <v>4541</v>
      </c>
      <c r="K21" s="65">
        <f>J21/J23</f>
        <v>0.46176530404718324</v>
      </c>
      <c r="L21" s="97">
        <f>646+886</f>
        <v>1532</v>
      </c>
      <c r="M21" s="65">
        <f>L21/L23</f>
        <v>0.23103604282913587</v>
      </c>
      <c r="N21" s="97">
        <f>569+759</f>
        <v>1328</v>
      </c>
      <c r="O21" s="65">
        <f>N21/N23</f>
        <v>0.16407215221151469</v>
      </c>
      <c r="P21" s="97">
        <f>179+267</f>
        <v>446</v>
      </c>
      <c r="Q21" s="65">
        <f>P21/P23</f>
        <v>0.13523347483323225</v>
      </c>
      <c r="R21" s="94">
        <f>8+15</f>
        <v>23</v>
      </c>
      <c r="S21" s="65">
        <f>R21/R23</f>
        <v>0.125</v>
      </c>
      <c r="T21" s="22"/>
    </row>
    <row r="22" spans="1:20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  <c r="T22" s="22"/>
    </row>
    <row r="23" spans="1:20" ht="13.5" thickBot="1" x14ac:dyDescent="0.25">
      <c r="A23" s="29" t="s">
        <v>16</v>
      </c>
      <c r="B23" s="64">
        <f>D23+F23+H23+J23+L23+N23+P23+R23</f>
        <v>36112</v>
      </c>
      <c r="C23" s="67">
        <f t="shared" ref="C23:S23" si="1">SUM(C17:C21)</f>
        <v>1</v>
      </c>
      <c r="D23" s="71">
        <f t="shared" si="1"/>
        <v>129</v>
      </c>
      <c r="E23" s="67">
        <f t="shared" si="1"/>
        <v>1</v>
      </c>
      <c r="F23" s="71">
        <f t="shared" si="1"/>
        <v>2555</v>
      </c>
      <c r="G23" s="67">
        <f t="shared" si="1"/>
        <v>1</v>
      </c>
      <c r="H23" s="50">
        <f t="shared" si="1"/>
        <v>5387</v>
      </c>
      <c r="I23" s="67">
        <f t="shared" si="1"/>
        <v>1</v>
      </c>
      <c r="J23" s="71">
        <f>SUM(J17:J21)</f>
        <v>9834</v>
      </c>
      <c r="K23" s="67">
        <f>SUM(K17:K21)</f>
        <v>1</v>
      </c>
      <c r="L23" s="50">
        <f t="shared" si="1"/>
        <v>6631</v>
      </c>
      <c r="M23" s="67">
        <f t="shared" si="1"/>
        <v>1</v>
      </c>
      <c r="N23" s="50">
        <f t="shared" si="1"/>
        <v>8094</v>
      </c>
      <c r="O23" s="67">
        <f t="shared" si="1"/>
        <v>1</v>
      </c>
      <c r="P23" s="50">
        <f t="shared" si="1"/>
        <v>3298</v>
      </c>
      <c r="Q23" s="67">
        <f t="shared" si="1"/>
        <v>0.99999999999999989</v>
      </c>
      <c r="R23" s="50">
        <f t="shared" si="1"/>
        <v>184</v>
      </c>
      <c r="S23" s="67">
        <f t="shared" si="1"/>
        <v>1</v>
      </c>
      <c r="T23" s="22"/>
    </row>
    <row r="24" spans="1:20" ht="13.5" thickBot="1" x14ac:dyDescent="0.25">
      <c r="A24" s="31" t="s">
        <v>17</v>
      </c>
      <c r="B24" s="32">
        <v>1</v>
      </c>
      <c r="C24" s="32"/>
      <c r="D24" s="32">
        <f>D23/$B$23</f>
        <v>3.5722197607443509E-3</v>
      </c>
      <c r="E24" s="32"/>
      <c r="F24" s="32">
        <f>F23/$B$23</f>
        <v>7.0752104563579971E-2</v>
      </c>
      <c r="G24" s="32"/>
      <c r="H24" s="32">
        <f>H23/$B$23</f>
        <v>0.14917478954364199</v>
      </c>
      <c r="I24" s="32"/>
      <c r="J24" s="32">
        <f>J23/$B$23</f>
        <v>0.27231945059813911</v>
      </c>
      <c r="K24" s="32"/>
      <c r="L24" s="33">
        <f>L23/$B$23</f>
        <v>0.18362317235268055</v>
      </c>
      <c r="M24" s="32"/>
      <c r="N24" s="33">
        <f>N23/$B$23</f>
        <v>0.22413602126716881</v>
      </c>
      <c r="O24" s="32"/>
      <c r="P24" s="33">
        <f>P23/$B$23</f>
        <v>9.1326982720425345E-2</v>
      </c>
      <c r="Q24" s="32"/>
      <c r="R24" s="33">
        <f>R23/$B$23</f>
        <v>5.0952591936198497E-3</v>
      </c>
      <c r="S24" s="32"/>
      <c r="T24" s="22"/>
    </row>
    <row r="25" spans="1:2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x14ac:dyDescent="0.2">
      <c r="J26" s="10"/>
    </row>
    <row r="27" spans="1:20" x14ac:dyDescent="0.2">
      <c r="C27" s="23"/>
      <c r="E27" s="23"/>
    </row>
    <row r="28" spans="1:20" x14ac:dyDescent="0.2">
      <c r="C28" s="23"/>
      <c r="E28" s="23"/>
    </row>
    <row r="29" spans="1:20" x14ac:dyDescent="0.2">
      <c r="C29" s="23"/>
      <c r="E29" s="23"/>
    </row>
    <row r="30" spans="1:20" x14ac:dyDescent="0.2">
      <c r="C30" s="23"/>
      <c r="E30" s="23"/>
    </row>
    <row r="31" spans="1:20" x14ac:dyDescent="0.2">
      <c r="C31" s="23"/>
      <c r="E31" s="23"/>
    </row>
    <row r="32" spans="1:20" x14ac:dyDescent="0.2">
      <c r="C32" s="23"/>
    </row>
  </sheetData>
  <mergeCells count="18">
    <mergeCell ref="B15:C15"/>
    <mergeCell ref="B3:C3"/>
    <mergeCell ref="D3:E3"/>
    <mergeCell ref="F3:G3"/>
    <mergeCell ref="H3:I3"/>
    <mergeCell ref="D15:E15"/>
    <mergeCell ref="F15:G15"/>
    <mergeCell ref="H15:I15"/>
    <mergeCell ref="N3:O3"/>
    <mergeCell ref="P3:Q3"/>
    <mergeCell ref="R3:S3"/>
    <mergeCell ref="J3:K3"/>
    <mergeCell ref="L3:M3"/>
    <mergeCell ref="P15:Q15"/>
    <mergeCell ref="J15:K15"/>
    <mergeCell ref="L15:M15"/>
    <mergeCell ref="N15:O15"/>
    <mergeCell ref="R15:S15"/>
  </mergeCells>
  <phoneticPr fontId="6" type="noConversion"/>
  <pageMargins left="0.21" right="0.1400000000000000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H29" sqref="H29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425781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29</v>
      </c>
    </row>
    <row r="2" spans="1:19" s="9" customFormat="1" ht="13.5" thickBot="1" x14ac:dyDescent="0.25">
      <c r="A2" s="89" t="s">
        <v>20</v>
      </c>
    </row>
    <row r="3" spans="1:19" s="9" customFormat="1" ht="13.5" thickBot="1" x14ac:dyDescent="0.25">
      <c r="A3" s="34">
        <v>2015</v>
      </c>
      <c r="B3" s="105" t="s">
        <v>0</v>
      </c>
      <c r="C3" s="106"/>
      <c r="D3" s="103" t="s">
        <v>1</v>
      </c>
      <c r="E3" s="104"/>
      <c r="F3" s="105" t="s">
        <v>2</v>
      </c>
      <c r="G3" s="106"/>
      <c r="H3" s="103" t="s">
        <v>3</v>
      </c>
      <c r="I3" s="104"/>
      <c r="J3" s="103" t="s">
        <v>4</v>
      </c>
      <c r="K3" s="104"/>
      <c r="L3" s="103" t="s">
        <v>5</v>
      </c>
      <c r="M3" s="104"/>
      <c r="N3" s="103" t="s">
        <v>6</v>
      </c>
      <c r="O3" s="104"/>
      <c r="P3" s="103" t="s">
        <v>7</v>
      </c>
      <c r="Q3" s="104"/>
      <c r="R3" s="103" t="s">
        <v>8</v>
      </c>
      <c r="S3" s="104"/>
    </row>
    <row r="4" spans="1:19" s="9" customFormat="1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s="9" customFormat="1" ht="13.5" thickBot="1" x14ac:dyDescent="0.25">
      <c r="A5" s="39" t="s">
        <v>11</v>
      </c>
      <c r="B5" s="40">
        <f>D5+F5+H5+J5+L5+N5+P5+R5</f>
        <v>128</v>
      </c>
      <c r="C5" s="15">
        <f>B5/$B$11</f>
        <v>3.1228652288474677E-3</v>
      </c>
      <c r="D5" s="98">
        <v>3</v>
      </c>
      <c r="E5" s="15">
        <f>D5/$D$11</f>
        <v>1.3761467889908258E-2</v>
      </c>
      <c r="F5" s="41">
        <v>7</v>
      </c>
      <c r="G5" s="15">
        <f>F5/$F$11</f>
        <v>1.8980477223427331E-3</v>
      </c>
      <c r="H5" s="41">
        <v>7</v>
      </c>
      <c r="I5" s="15">
        <f>H5/$H$11</f>
        <v>1.0723039215686275E-3</v>
      </c>
      <c r="J5" s="41">
        <v>22</v>
      </c>
      <c r="K5" s="15">
        <f>J5/$J$11</f>
        <v>2.1200732388937074E-3</v>
      </c>
      <c r="L5" s="41">
        <v>27</v>
      </c>
      <c r="M5" s="15">
        <f>L5/$L$11</f>
        <v>3.7154258978945921E-3</v>
      </c>
      <c r="N5" s="41">
        <v>41</v>
      </c>
      <c r="O5" s="15">
        <f>N5/$N$11</f>
        <v>4.4887234508430044E-3</v>
      </c>
      <c r="P5" s="41">
        <v>18</v>
      </c>
      <c r="Q5" s="15">
        <f>P5/$P$11</f>
        <v>5.0055617352614016E-3</v>
      </c>
      <c r="R5" s="41">
        <v>3</v>
      </c>
      <c r="S5" s="15">
        <f>R5/$R$11</f>
        <v>1.6666666666666666E-2</v>
      </c>
    </row>
    <row r="6" spans="1:19" s="9" customFormat="1" ht="13.5" thickBot="1" x14ac:dyDescent="0.25">
      <c r="A6" s="42" t="s">
        <v>12</v>
      </c>
      <c r="B6" s="40">
        <f>D6+F6+H6+J6+L6+N6+P6+R6</f>
        <v>7412</v>
      </c>
      <c r="C6" s="16">
        <f>B6/$B$11</f>
        <v>0.18083341465794867</v>
      </c>
      <c r="D6" s="99">
        <v>12</v>
      </c>
      <c r="E6" s="16">
        <f>D6/$D$11</f>
        <v>5.5045871559633031E-2</v>
      </c>
      <c r="F6" s="41">
        <v>125</v>
      </c>
      <c r="G6" s="16">
        <f>F6/$F$11</f>
        <v>3.3893709327548809E-2</v>
      </c>
      <c r="H6" s="41">
        <v>358</v>
      </c>
      <c r="I6" s="16">
        <f>H6/$H$11</f>
        <v>5.4840686274509803E-2</v>
      </c>
      <c r="J6" s="41">
        <v>1205</v>
      </c>
      <c r="K6" s="16">
        <f>J6/$J$11</f>
        <v>0.1161221933121326</v>
      </c>
      <c r="L6" s="41">
        <v>1476</v>
      </c>
      <c r="M6" s="16">
        <f>L6/$L$11</f>
        <v>0.20310994908490437</v>
      </c>
      <c r="N6" s="41">
        <v>2616</v>
      </c>
      <c r="O6" s="16">
        <f>N6/$N$11</f>
        <v>0.28640245237573897</v>
      </c>
      <c r="P6" s="41">
        <v>1529</v>
      </c>
      <c r="Q6" s="16">
        <f>P6/$P$11</f>
        <v>0.42519466073414908</v>
      </c>
      <c r="R6" s="41">
        <v>91</v>
      </c>
      <c r="S6" s="16">
        <f>R6/$R$11</f>
        <v>0.50555555555555554</v>
      </c>
    </row>
    <row r="7" spans="1:19" s="9" customFormat="1" ht="13.5" thickBot="1" x14ac:dyDescent="0.25">
      <c r="A7" s="43" t="s">
        <v>13</v>
      </c>
      <c r="B7" s="40">
        <f>D7+F7+H7+J7+L7+N7+P7+R7</f>
        <v>15198</v>
      </c>
      <c r="C7" s="16">
        <f>B7/$B$11</f>
        <v>0.37079145115643602</v>
      </c>
      <c r="D7" s="99">
        <v>167</v>
      </c>
      <c r="E7" s="16">
        <f>D7/$D$11</f>
        <v>0.76605504587155959</v>
      </c>
      <c r="F7" s="41">
        <v>1181</v>
      </c>
      <c r="G7" s="16">
        <f>F7/$F$11</f>
        <v>0.3202277657266811</v>
      </c>
      <c r="H7" s="41">
        <v>1376</v>
      </c>
      <c r="I7" s="16">
        <f>H7/$H$11</f>
        <v>0.2107843137254902</v>
      </c>
      <c r="J7" s="41">
        <v>3451</v>
      </c>
      <c r="K7" s="16">
        <f>J7/$J$11</f>
        <v>0.33256239761009926</v>
      </c>
      <c r="L7" s="41">
        <v>3529</v>
      </c>
      <c r="M7" s="16">
        <f>L7/$L$11</f>
        <v>0.48561992569148205</v>
      </c>
      <c r="N7" s="41">
        <v>4138</v>
      </c>
      <c r="O7" s="16">
        <f>N7/$N$11</f>
        <v>0.45303262535581346</v>
      </c>
      <c r="P7" s="41">
        <v>1296</v>
      </c>
      <c r="Q7" s="16">
        <f>P7/$P$11</f>
        <v>0.3604004449388209</v>
      </c>
      <c r="R7" s="41">
        <v>60</v>
      </c>
      <c r="S7" s="16">
        <f>R7/$R$11</f>
        <v>0.33333333333333331</v>
      </c>
    </row>
    <row r="8" spans="1:19" s="9" customFormat="1" ht="13.5" thickBot="1" x14ac:dyDescent="0.25">
      <c r="A8" s="42" t="s">
        <v>14</v>
      </c>
      <c r="B8" s="40">
        <f>D8+F8+H8+J8+L8+N8+P8+R8</f>
        <v>4023</v>
      </c>
      <c r="C8" s="16">
        <f>B8/$B$11</f>
        <v>9.8150678247291887E-2</v>
      </c>
      <c r="D8" s="99">
        <v>34</v>
      </c>
      <c r="E8" s="16">
        <f>D8/$D$11</f>
        <v>0.15596330275229359</v>
      </c>
      <c r="F8" s="41">
        <v>533</v>
      </c>
      <c r="G8" s="16">
        <f>F8/$F$11</f>
        <v>0.1445227765726681</v>
      </c>
      <c r="H8" s="41">
        <v>501</v>
      </c>
      <c r="I8" s="16">
        <f>H8/$H$11</f>
        <v>7.674632352941177E-2</v>
      </c>
      <c r="J8" s="41">
        <v>985</v>
      </c>
      <c r="K8" s="16">
        <f>J8/$J$11</f>
        <v>9.4921460923195533E-2</v>
      </c>
      <c r="L8" s="41">
        <v>750</v>
      </c>
      <c r="M8" s="16">
        <f>L8/$L$11</f>
        <v>0.10320627494151645</v>
      </c>
      <c r="N8" s="41">
        <v>947</v>
      </c>
      <c r="O8" s="16">
        <f>N8/$N$11</f>
        <v>0.10367856360849573</v>
      </c>
      <c r="P8" s="41">
        <v>269</v>
      </c>
      <c r="Q8" s="16">
        <f>P8/$P$11</f>
        <v>7.4805339265850951E-2</v>
      </c>
      <c r="R8" s="41">
        <v>4</v>
      </c>
      <c r="S8" s="16">
        <f>R8/$R$11</f>
        <v>2.2222222222222223E-2</v>
      </c>
    </row>
    <row r="9" spans="1:19" s="9" customFormat="1" ht="13.5" thickBot="1" x14ac:dyDescent="0.25">
      <c r="A9" s="43" t="s">
        <v>15</v>
      </c>
      <c r="B9" s="40">
        <f>D9+F9+H9+J9+L9+N9+P9+R9</f>
        <v>14227</v>
      </c>
      <c r="C9" s="17">
        <f>B9/$B$11</f>
        <v>0.34710159070947594</v>
      </c>
      <c r="D9" s="100">
        <v>2</v>
      </c>
      <c r="E9" s="17">
        <f>D9/$D$11</f>
        <v>9.1743119266055051E-3</v>
      </c>
      <c r="F9" s="41">
        <v>1842</v>
      </c>
      <c r="G9" s="17">
        <f>F9/$F$11</f>
        <v>0.49945770065075923</v>
      </c>
      <c r="H9" s="41">
        <v>4286</v>
      </c>
      <c r="I9" s="17">
        <f>H9/$H$11</f>
        <v>0.65655637254901966</v>
      </c>
      <c r="J9" s="41">
        <v>4714</v>
      </c>
      <c r="K9" s="17">
        <f>J9/$J$11</f>
        <v>0.45427387491567889</v>
      </c>
      <c r="L9" s="41">
        <v>1485</v>
      </c>
      <c r="M9" s="17">
        <f>L9/$L$11</f>
        <v>0.20434842438420256</v>
      </c>
      <c r="N9" s="41">
        <v>1392</v>
      </c>
      <c r="O9" s="17">
        <f>N9/$N$11</f>
        <v>0.15239763520910882</v>
      </c>
      <c r="P9" s="41">
        <v>484</v>
      </c>
      <c r="Q9" s="17">
        <f>P9/$P$11</f>
        <v>0.13459399332591768</v>
      </c>
      <c r="R9" s="41">
        <v>22</v>
      </c>
      <c r="S9" s="17">
        <f>R9/$R$11</f>
        <v>0.12222222222222222</v>
      </c>
    </row>
    <row r="10" spans="1:19" s="9" customFormat="1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s="9" customFormat="1" x14ac:dyDescent="0.2">
      <c r="A11" s="43" t="s">
        <v>16</v>
      </c>
      <c r="B11" s="48">
        <f>SUM(B5:B9)</f>
        <v>40988</v>
      </c>
      <c r="C11" s="45">
        <f>B11/$B$11</f>
        <v>1</v>
      </c>
      <c r="D11" s="49">
        <f>SUM(D5:D9)</f>
        <v>218</v>
      </c>
      <c r="E11" s="45">
        <f>D11/$D$11</f>
        <v>1</v>
      </c>
      <c r="F11" s="50">
        <f>SUM(F5:F9)</f>
        <v>3688</v>
      </c>
      <c r="G11" s="45">
        <f>F11/$F$11</f>
        <v>1</v>
      </c>
      <c r="H11" s="50">
        <f>SUM(H5:H9)</f>
        <v>6528</v>
      </c>
      <c r="I11" s="45">
        <f>H11/$H$11</f>
        <v>1</v>
      </c>
      <c r="J11" s="47">
        <f>SUM(J5:J9)</f>
        <v>10377</v>
      </c>
      <c r="K11" s="45">
        <f>J11/$J$11</f>
        <v>1</v>
      </c>
      <c r="L11" s="47">
        <f>SUM(L5:L9)</f>
        <v>7267</v>
      </c>
      <c r="M11" s="45">
        <f>L11/$L$11</f>
        <v>1</v>
      </c>
      <c r="N11" s="47">
        <f>SUM(N5:N9)</f>
        <v>9134</v>
      </c>
      <c r="O11" s="45">
        <f>N11/$N$11</f>
        <v>1</v>
      </c>
      <c r="P11" s="47">
        <f>SUM(P5:P9)</f>
        <v>3596</v>
      </c>
      <c r="Q11" s="45">
        <f>P11/$P$11</f>
        <v>1</v>
      </c>
      <c r="R11" s="47">
        <f>SUM(R5:R9)</f>
        <v>180</v>
      </c>
      <c r="S11" s="45">
        <f>R11/$R$11</f>
        <v>1</v>
      </c>
    </row>
    <row r="12" spans="1:19" s="9" customFormat="1" ht="13.5" thickBot="1" x14ac:dyDescent="0.25">
      <c r="A12" s="51" t="s">
        <v>17</v>
      </c>
      <c r="B12" s="52">
        <f>B11/$B$11</f>
        <v>1</v>
      </c>
      <c r="C12" s="52"/>
      <c r="D12" s="27">
        <f>D11/$B$11</f>
        <v>5.3186298428808433E-3</v>
      </c>
      <c r="E12" s="52"/>
      <c r="F12" s="28">
        <f>F11/$B$11</f>
        <v>8.9977554406167656E-2</v>
      </c>
      <c r="G12" s="52"/>
      <c r="H12" s="28">
        <f>H11/$B$11</f>
        <v>0.15926612667122084</v>
      </c>
      <c r="I12" s="52"/>
      <c r="J12" s="28">
        <f>J11/$B$11</f>
        <v>0.25317165999804819</v>
      </c>
      <c r="K12" s="52"/>
      <c r="L12" s="28">
        <f>L11/$B$11</f>
        <v>0.17729579389089489</v>
      </c>
      <c r="M12" s="52"/>
      <c r="N12" s="28">
        <f>N11/$B$11</f>
        <v>0.22284571093978725</v>
      </c>
      <c r="O12" s="52"/>
      <c r="P12" s="28">
        <f>P11/$B$11</f>
        <v>8.7732995022933538E-2</v>
      </c>
      <c r="Q12" s="52"/>
      <c r="R12" s="28">
        <f>R11/$B$11</f>
        <v>4.3915292280667512E-3</v>
      </c>
      <c r="S12" s="52"/>
    </row>
    <row r="13" spans="1:19" s="9" customFormat="1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s="9" customFormat="1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s="9" customFormat="1" ht="13.5" thickBot="1" x14ac:dyDescent="0.25">
      <c r="A15" s="54">
        <v>2016</v>
      </c>
      <c r="B15" s="101" t="s">
        <v>0</v>
      </c>
      <c r="C15" s="102"/>
      <c r="D15" s="101" t="s">
        <v>1</v>
      </c>
      <c r="E15" s="102"/>
      <c r="F15" s="101" t="s">
        <v>2</v>
      </c>
      <c r="G15" s="102"/>
      <c r="H15" s="101" t="s">
        <v>3</v>
      </c>
      <c r="I15" s="102"/>
      <c r="J15" s="101" t="s">
        <v>4</v>
      </c>
      <c r="K15" s="102"/>
      <c r="L15" s="101" t="s">
        <v>5</v>
      </c>
      <c r="M15" s="102"/>
      <c r="N15" s="101" t="s">
        <v>6</v>
      </c>
      <c r="O15" s="102"/>
      <c r="P15" s="101" t="s">
        <v>7</v>
      </c>
      <c r="Q15" s="102"/>
      <c r="R15" s="101" t="s">
        <v>8</v>
      </c>
      <c r="S15" s="102"/>
    </row>
    <row r="16" spans="1:19" s="9" customFormat="1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s="9" customFormat="1" ht="15" x14ac:dyDescent="0.25">
      <c r="A17" s="59" t="s">
        <v>11</v>
      </c>
      <c r="B17" s="40">
        <f>D17+F17+H17+J17+L17+N17+P17+R17</f>
        <v>116</v>
      </c>
      <c r="C17" s="60">
        <f>B17/B23</f>
        <v>3.2414910858995136E-3</v>
      </c>
      <c r="D17" s="95">
        <v>1</v>
      </c>
      <c r="E17" s="60">
        <f>D17/D23</f>
        <v>7.6335877862595417E-3</v>
      </c>
      <c r="F17" s="96">
        <v>8</v>
      </c>
      <c r="G17" s="60">
        <f>F17/F23</f>
        <v>3.2038446135362435E-3</v>
      </c>
      <c r="H17" s="96">
        <v>14</v>
      </c>
      <c r="I17" s="60">
        <f>H17/H23</f>
        <v>2.5921125717459728E-3</v>
      </c>
      <c r="J17" s="96">
        <v>29</v>
      </c>
      <c r="K17" s="60">
        <f>J17/J23</f>
        <v>2.9384942750025332E-3</v>
      </c>
      <c r="L17" s="96">
        <v>29</v>
      </c>
      <c r="M17" s="60">
        <f>L17/L23</f>
        <v>4.4247787610619468E-3</v>
      </c>
      <c r="N17" s="96">
        <v>19</v>
      </c>
      <c r="O17" s="60">
        <f>N17/N23</f>
        <v>2.4035420619860849E-3</v>
      </c>
      <c r="P17" s="96">
        <v>14</v>
      </c>
      <c r="Q17" s="60">
        <f>P17/P23</f>
        <v>4.326328800988875E-3</v>
      </c>
      <c r="R17" s="96">
        <v>2</v>
      </c>
      <c r="S17" s="60">
        <f>R17/R23</f>
        <v>1.0362694300518135E-2</v>
      </c>
    </row>
    <row r="18" spans="1:19" s="9" customFormat="1" ht="15" x14ac:dyDescent="0.25">
      <c r="A18" s="61" t="s">
        <v>12</v>
      </c>
      <c r="B18" s="62">
        <f>D18+F18+H18+J18+L18+N18+P18+R18</f>
        <v>6759</v>
      </c>
      <c r="C18" s="63">
        <f>B18/B23</f>
        <v>0.18887274353098976</v>
      </c>
      <c r="D18" s="95">
        <v>23</v>
      </c>
      <c r="E18" s="63">
        <f>D18/D23</f>
        <v>0.17557251908396945</v>
      </c>
      <c r="F18" s="96">
        <v>204</v>
      </c>
      <c r="G18" s="63">
        <f>F18/F23</f>
        <v>8.1698037645174207E-2</v>
      </c>
      <c r="H18" s="96">
        <v>381</v>
      </c>
      <c r="I18" s="63">
        <f>H18/H23</f>
        <v>7.0542492131086834E-2</v>
      </c>
      <c r="J18" s="96">
        <v>1339</v>
      </c>
      <c r="K18" s="63">
        <f>J18/J23</f>
        <v>0.13567737359408247</v>
      </c>
      <c r="L18" s="96">
        <v>1327</v>
      </c>
      <c r="M18" s="63">
        <f>L18/L23</f>
        <v>0.20247177296307597</v>
      </c>
      <c r="N18" s="96">
        <v>2107</v>
      </c>
      <c r="O18" s="63">
        <f>N18/N23</f>
        <v>0.26654016445287793</v>
      </c>
      <c r="P18" s="96">
        <v>1291</v>
      </c>
      <c r="Q18" s="63">
        <f>P18/P23</f>
        <v>0.39894932014833129</v>
      </c>
      <c r="R18" s="96">
        <v>87</v>
      </c>
      <c r="S18" s="63">
        <f>R18/R23</f>
        <v>0.45077720207253885</v>
      </c>
    </row>
    <row r="19" spans="1:19" s="9" customFormat="1" ht="15" x14ac:dyDescent="0.25">
      <c r="A19" s="29" t="s">
        <v>13</v>
      </c>
      <c r="B19" s="62">
        <f>D19+F19+H19+J19+L19+N19+P19+R19</f>
        <v>13186</v>
      </c>
      <c r="C19" s="63">
        <f>B19/B23</f>
        <v>0.36846811602302576</v>
      </c>
      <c r="D19" s="95">
        <v>82</v>
      </c>
      <c r="E19" s="63">
        <f>D19/D23</f>
        <v>0.62595419847328249</v>
      </c>
      <c r="F19" s="96">
        <v>788</v>
      </c>
      <c r="G19" s="63">
        <f>F19/F23</f>
        <v>0.31557869443331998</v>
      </c>
      <c r="H19" s="96">
        <v>1153</v>
      </c>
      <c r="I19" s="63">
        <f>H19/H23</f>
        <v>0.21347898537307905</v>
      </c>
      <c r="J19" s="96">
        <v>3118</v>
      </c>
      <c r="K19" s="63">
        <f>J19/J23</f>
        <v>0.31593879825716892</v>
      </c>
      <c r="L19" s="96">
        <v>3040</v>
      </c>
      <c r="M19" s="63">
        <f>L19/L23</f>
        <v>0.46383887702166615</v>
      </c>
      <c r="N19" s="96">
        <v>3703</v>
      </c>
      <c r="O19" s="63">
        <f>N19/N23</f>
        <v>0.46843769765970905</v>
      </c>
      <c r="P19" s="96">
        <v>1236</v>
      </c>
      <c r="Q19" s="63">
        <f>P19/P23</f>
        <v>0.38195302843016071</v>
      </c>
      <c r="R19" s="96">
        <v>66</v>
      </c>
      <c r="S19" s="63">
        <f>R19/R23</f>
        <v>0.34196891191709844</v>
      </c>
    </row>
    <row r="20" spans="1:19" s="9" customFormat="1" ht="15" x14ac:dyDescent="0.25">
      <c r="A20" s="61" t="s">
        <v>14</v>
      </c>
      <c r="B20" s="62">
        <f>D20+F20+H20+J20+L20+N20+P20+R20</f>
        <v>3238</v>
      </c>
      <c r="C20" s="63">
        <f>B20/B23</f>
        <v>9.0482311518470915E-2</v>
      </c>
      <c r="D20" s="95">
        <v>24</v>
      </c>
      <c r="E20" s="63">
        <f>D20/D23</f>
        <v>0.18320610687022901</v>
      </c>
      <c r="F20" s="96">
        <v>339</v>
      </c>
      <c r="G20" s="63">
        <f>F20/F23</f>
        <v>0.13576291549859831</v>
      </c>
      <c r="H20" s="96">
        <v>392</v>
      </c>
      <c r="I20" s="63">
        <f>H20/H23</f>
        <v>7.2579152008887246E-2</v>
      </c>
      <c r="J20" s="96">
        <v>818</v>
      </c>
      <c r="K20" s="63">
        <f>J20/J23</f>
        <v>8.2885804032830079E-2</v>
      </c>
      <c r="L20" s="96">
        <v>616</v>
      </c>
      <c r="M20" s="63">
        <f>L20/L23</f>
        <v>9.3988404028074457E-2</v>
      </c>
      <c r="N20" s="96">
        <v>784</v>
      </c>
      <c r="O20" s="63">
        <f>N20/N23</f>
        <v>9.9177735610373186E-2</v>
      </c>
      <c r="P20" s="96">
        <v>251</v>
      </c>
      <c r="Q20" s="63">
        <f>P20/P23</f>
        <v>7.7564894932014836E-2</v>
      </c>
      <c r="R20" s="96">
        <v>14</v>
      </c>
      <c r="S20" s="63">
        <f>R20/R23</f>
        <v>7.2538860103626937E-2</v>
      </c>
    </row>
    <row r="21" spans="1:19" s="9" customFormat="1" ht="13.5" thickBot="1" x14ac:dyDescent="0.25">
      <c r="A21" s="29" t="s">
        <v>15</v>
      </c>
      <c r="B21" s="64">
        <f>D21+F21+H21+J21+L21+N21+P21+R21</f>
        <v>12487</v>
      </c>
      <c r="C21" s="65">
        <f>B21/B23</f>
        <v>0.34893533784161401</v>
      </c>
      <c r="D21" s="95">
        <v>1</v>
      </c>
      <c r="E21" s="65">
        <f>D21/D23</f>
        <v>7.6335877862595417E-3</v>
      </c>
      <c r="F21" s="97">
        <f>301+857</f>
        <v>1158</v>
      </c>
      <c r="G21" s="65">
        <f>F21/F23</f>
        <v>0.46375650780937122</v>
      </c>
      <c r="H21" s="97">
        <f>524+2937</f>
        <v>3461</v>
      </c>
      <c r="I21" s="65">
        <f>H21/H23</f>
        <v>0.64080725791520088</v>
      </c>
      <c r="J21" s="97">
        <f>948+3617</f>
        <v>4565</v>
      </c>
      <c r="K21" s="65">
        <f>J21/J23</f>
        <v>0.46255952984091597</v>
      </c>
      <c r="L21" s="97">
        <f>649+893</f>
        <v>1542</v>
      </c>
      <c r="M21" s="65">
        <f>L21/L23</f>
        <v>0.23527616722612146</v>
      </c>
      <c r="N21" s="97">
        <f>557+735</f>
        <v>1292</v>
      </c>
      <c r="O21" s="65">
        <f>N21/N23</f>
        <v>0.16344086021505377</v>
      </c>
      <c r="P21" s="97">
        <f>178+266</f>
        <v>444</v>
      </c>
      <c r="Q21" s="65">
        <f>P21/P23</f>
        <v>0.13720642768850433</v>
      </c>
      <c r="R21" s="97">
        <v>24</v>
      </c>
      <c r="S21" s="65">
        <f>R21/R23</f>
        <v>0.12435233160621761</v>
      </c>
    </row>
    <row r="22" spans="1:19" s="9" customFormat="1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s="9" customFormat="1" ht="13.5" thickBot="1" x14ac:dyDescent="0.25">
      <c r="A23" s="29" t="s">
        <v>16</v>
      </c>
      <c r="B23" s="64">
        <f>D23+F23+H23+J23+L23+N23+P23+R23</f>
        <v>35786</v>
      </c>
      <c r="C23" s="67">
        <f t="shared" ref="C23:S23" si="0">SUM(C17:C21)</f>
        <v>1</v>
      </c>
      <c r="D23" s="71">
        <f t="shared" si="0"/>
        <v>131</v>
      </c>
      <c r="E23" s="67">
        <f t="shared" si="0"/>
        <v>1</v>
      </c>
      <c r="F23" s="71">
        <f t="shared" si="0"/>
        <v>2497</v>
      </c>
      <c r="G23" s="67">
        <f t="shared" si="0"/>
        <v>1</v>
      </c>
      <c r="H23" s="50">
        <f t="shared" si="0"/>
        <v>5401</v>
      </c>
      <c r="I23" s="67">
        <f t="shared" si="0"/>
        <v>1</v>
      </c>
      <c r="J23" s="71">
        <f t="shared" si="0"/>
        <v>9869</v>
      </c>
      <c r="K23" s="67">
        <f>SUM(K17:K21)</f>
        <v>1</v>
      </c>
      <c r="L23" s="50">
        <f t="shared" si="0"/>
        <v>6554</v>
      </c>
      <c r="M23" s="67">
        <f t="shared" si="0"/>
        <v>1</v>
      </c>
      <c r="N23" s="50">
        <f t="shared" si="0"/>
        <v>7905</v>
      </c>
      <c r="O23" s="67">
        <f t="shared" si="0"/>
        <v>0.99999999999999989</v>
      </c>
      <c r="P23" s="50">
        <f t="shared" si="0"/>
        <v>3236</v>
      </c>
      <c r="Q23" s="67">
        <f t="shared" si="0"/>
        <v>1</v>
      </c>
      <c r="R23" s="50">
        <f t="shared" si="0"/>
        <v>193</v>
      </c>
      <c r="S23" s="67">
        <f t="shared" si="0"/>
        <v>1</v>
      </c>
    </row>
    <row r="24" spans="1:19" s="9" customFormat="1" ht="13.5" thickBot="1" x14ac:dyDescent="0.25">
      <c r="A24" s="31" t="s">
        <v>17</v>
      </c>
      <c r="B24" s="32">
        <v>1</v>
      </c>
      <c r="C24" s="32"/>
      <c r="D24" s="32">
        <f>D23/$B$23</f>
        <v>3.6606494159727269E-3</v>
      </c>
      <c r="E24" s="32"/>
      <c r="F24" s="32">
        <f>F23/$B$23</f>
        <v>6.9775890012854183E-2</v>
      </c>
      <c r="G24" s="32"/>
      <c r="H24" s="32">
        <f>H23/$B$23</f>
        <v>0.15092494271502821</v>
      </c>
      <c r="I24" s="32"/>
      <c r="J24" s="32">
        <f>J23/$B$23</f>
        <v>0.27577823729950257</v>
      </c>
      <c r="K24" s="32"/>
      <c r="L24" s="33">
        <f>L23/$B$23</f>
        <v>0.18314424635332252</v>
      </c>
      <c r="M24" s="32"/>
      <c r="N24" s="33">
        <f>N23/$B$23</f>
        <v>0.22089643994858324</v>
      </c>
      <c r="O24" s="32"/>
      <c r="P24" s="33">
        <f>P23/$B$23</f>
        <v>9.0426423741127818E-2</v>
      </c>
      <c r="Q24" s="32"/>
      <c r="R24" s="33">
        <f>R23/$B$23</f>
        <v>5.3931705136086739E-3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R15:S15"/>
    <mergeCell ref="N3:O3"/>
    <mergeCell ref="P3:Q3"/>
    <mergeCell ref="R3:S3"/>
    <mergeCell ref="N15:O15"/>
    <mergeCell ref="H3:I3"/>
    <mergeCell ref="F15:G15"/>
    <mergeCell ref="H15:I15"/>
    <mergeCell ref="J15:K15"/>
    <mergeCell ref="P15:Q15"/>
    <mergeCell ref="L15:M15"/>
    <mergeCell ref="J3:K3"/>
    <mergeCell ref="L3:M3"/>
    <mergeCell ref="B15:C15"/>
    <mergeCell ref="D15:E15"/>
    <mergeCell ref="B3:C3"/>
    <mergeCell ref="D3:E3"/>
    <mergeCell ref="F3:G3"/>
  </mergeCells>
  <phoneticPr fontId="6" type="noConversion"/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average 12 Μ</vt:lpstr>
      <vt:lpstr>2016 January</vt:lpstr>
      <vt:lpstr>2016 February</vt:lpstr>
      <vt:lpstr>2016 Mar</vt:lpstr>
      <vt:lpstr>2016 Apr</vt:lpstr>
      <vt:lpstr>2016 May</vt:lpstr>
      <vt:lpstr>2016 June</vt:lpstr>
      <vt:lpstr>2016 July</vt:lpstr>
      <vt:lpstr>2016 Aug</vt:lpstr>
      <vt:lpstr>2016 Sep</vt:lpstr>
      <vt:lpstr>2016 Oct</vt:lpstr>
      <vt:lpstr>2016 Nov</vt:lpstr>
      <vt:lpstr>2016 Dec</vt:lpstr>
      <vt:lpstr>'2016 Dec'!Print_Area</vt:lpstr>
      <vt:lpstr>'2016 Nov'!Print_Area</vt:lpstr>
      <vt:lpstr>'average 12 Μ'!Print_Area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2018-01-23T09:58:17Z</cp:lastPrinted>
  <dcterms:created xsi:type="dcterms:W3CDTF">2004-06-23T07:31:43Z</dcterms:created>
  <dcterms:modified xsi:type="dcterms:W3CDTF">2018-01-26T10:50:43Z</dcterms:modified>
</cp:coreProperties>
</file>